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490" windowHeight="7755" tabRatio="803"/>
  </bookViews>
  <sheets>
    <sheet name="DMF Data Entry" sheetId="18" r:id="rId1"/>
    <sheet name="The Plan" sheetId="22" r:id="rId2"/>
    <sheet name="Data Entry" sheetId="17" state="hidden" r:id="rId3"/>
    <sheet name="Data Entry Pump" sheetId="16" state="hidden" r:id="rId4"/>
    <sheet name="Pump Aerobic (endurance)" sheetId="15" state="hidden" r:id="rId5"/>
    <sheet name="Puimp Intermittent" sheetId="14" state="hidden" r:id="rId6"/>
    <sheet name="Pump Anaerobic (short &amp; sharp)" sheetId="13" state="hidden" r:id="rId7"/>
    <sheet name="Data Entry MDI" sheetId="12" state="hidden" r:id="rId8"/>
    <sheet name="MDI Anaerobic (short &amp; sharp)" sheetId="5" state="hidden" r:id="rId9"/>
    <sheet name="MDI Intermittent" sheetId="4" state="hidden" r:id="rId10"/>
    <sheet name="MDI Aerobic (endurance)" sheetId="1" state="hidden" r:id="rId11"/>
    <sheet name="Sheet1" sheetId="19" state="hidden" r:id="rId12"/>
  </sheets>
  <definedNames>
    <definedName name="_xlnm.Print_Area" localSheetId="0">'DMF Data Entry'!$A$1:$J$14</definedName>
    <definedName name="_xlnm.Print_Area" localSheetId="1">'The Plan'!$A$2:$K$21</definedName>
  </definedNames>
  <calcPr calcId="124519" concurrentCalc="0"/>
</workbook>
</file>

<file path=xl/calcChain.xml><?xml version="1.0" encoding="utf-8"?>
<calcChain xmlns="http://schemas.openxmlformats.org/spreadsheetml/2006/main">
  <c r="B11" i="17"/>
  <c r="B9" i="12"/>
  <c r="B9" i="5"/>
  <c r="B10" i="17"/>
  <c r="B8" i="12"/>
  <c r="B8" i="5"/>
  <c r="F4"/>
  <c r="E4" i="12"/>
  <c r="B4" i="17" l="1"/>
  <c r="B9" i="16"/>
  <c r="B8" i="13"/>
  <c r="B10" i="16"/>
  <c r="B9" i="13"/>
  <c r="F4"/>
  <c r="E4" i="16"/>
  <c r="E4" i="17"/>
  <c r="C11" i="22"/>
  <c r="B12" i="17"/>
  <c r="B11" i="16"/>
  <c r="B10" i="13"/>
  <c r="F6"/>
  <c r="E7" i="16"/>
  <c r="E7" i="12"/>
  <c r="E8" i="17"/>
  <c r="B10" i="12"/>
  <c r="B10" i="5"/>
  <c r="B1" i="17"/>
  <c r="B1" i="12"/>
  <c r="B1" i="5"/>
  <c r="F8"/>
  <c r="E8" i="12"/>
  <c r="E10" i="17"/>
  <c r="F4" i="22"/>
  <c r="C6"/>
  <c r="G4"/>
  <c r="C9"/>
  <c r="B5" i="17"/>
  <c r="G12" i="12"/>
  <c r="G13" i="16"/>
  <c r="G14" i="17"/>
  <c r="C17" i="22"/>
  <c r="C15"/>
  <c r="C13"/>
  <c r="K5"/>
  <c r="C7"/>
  <c r="C4"/>
  <c r="C3"/>
  <c r="C1"/>
  <c r="E5"/>
  <c r="H5"/>
  <c r="F5"/>
  <c r="M5"/>
  <c r="J5"/>
  <c r="I10"/>
  <c r="G5"/>
  <c r="I5"/>
  <c r="B6" i="17"/>
  <c r="B6" i="12"/>
  <c r="B5" i="1"/>
  <c r="B5" i="4"/>
  <c r="B5" i="5"/>
  <c r="B2" i="15"/>
  <c r="B3"/>
  <c r="B12"/>
  <c r="B11"/>
  <c r="B5"/>
  <c r="B5" i="13"/>
  <c r="B5" i="14"/>
  <c r="B6" i="16"/>
  <c r="B13" i="17"/>
  <c r="B3"/>
  <c r="B2"/>
  <c r="B5" i="12"/>
  <c r="B4"/>
  <c r="B5" i="16"/>
  <c r="B4"/>
  <c r="B11" i="12"/>
  <c r="B12" i="16"/>
  <c r="B12" i="14"/>
  <c r="B1" i="16"/>
  <c r="B1" i="13"/>
  <c r="G1" i="17"/>
  <c r="G1" i="22"/>
  <c r="D1" i="17"/>
  <c r="E1" i="22"/>
  <c r="G1" i="16"/>
  <c r="D1"/>
  <c r="G1" i="15"/>
  <c r="H1"/>
  <c r="G1" i="14"/>
  <c r="H1"/>
  <c r="G1" i="13"/>
  <c r="H1"/>
  <c r="G11" i="12"/>
  <c r="G12" i="16"/>
  <c r="B10" i="15"/>
  <c r="G4" i="18"/>
  <c r="E4"/>
  <c r="B9" i="15"/>
  <c r="B11" i="13"/>
  <c r="B10" i="14"/>
  <c r="B9"/>
  <c r="B11"/>
  <c r="B1"/>
  <c r="B1" i="15"/>
  <c r="B1" i="1"/>
  <c r="B1" i="4"/>
  <c r="B11" i="1"/>
  <c r="B10"/>
  <c r="B9"/>
  <c r="B8"/>
  <c r="B11" i="4"/>
  <c r="B10"/>
  <c r="B9"/>
  <c r="B8"/>
  <c r="B11" i="5"/>
  <c r="G1" i="12"/>
  <c r="D1"/>
  <c r="H1" i="5"/>
  <c r="G1"/>
  <c r="H1" i="4"/>
  <c r="G1"/>
  <c r="H1" i="1"/>
  <c r="G1"/>
  <c r="G13" i="17"/>
  <c r="G13" i="18"/>
  <c r="G16" i="22"/>
  <c r="F5" i="14"/>
  <c r="E5"/>
  <c r="F5" i="4"/>
  <c r="E5"/>
  <c r="H8" i="13"/>
  <c r="H4"/>
  <c r="H6"/>
  <c r="G8" i="15"/>
  <c r="G6"/>
  <c r="G7"/>
  <c r="G9"/>
  <c r="G8" i="4"/>
  <c r="G6"/>
  <c r="G7"/>
  <c r="G7" i="1"/>
  <c r="G8"/>
  <c r="G6"/>
  <c r="G7" i="14"/>
  <c r="G8"/>
  <c r="G6"/>
  <c r="G9"/>
  <c r="H7" i="4"/>
  <c r="H7" i="1"/>
  <c r="H6" i="5"/>
  <c r="H6" i="15"/>
  <c r="H5"/>
  <c r="H9"/>
  <c r="H7"/>
  <c r="H8"/>
  <c r="H9" i="14"/>
  <c r="H5"/>
  <c r="H8" i="5"/>
  <c r="H4"/>
  <c r="H8" i="4"/>
  <c r="H6"/>
  <c r="H5"/>
  <c r="H6" i="1"/>
  <c r="H5"/>
  <c r="H8"/>
  <c r="H8" i="14"/>
  <c r="H7"/>
  <c r="G7" i="16"/>
  <c r="E8" i="14"/>
  <c r="F7"/>
  <c r="E7"/>
  <c r="J7" i="15"/>
  <c r="I7"/>
  <c r="E7"/>
  <c r="F7"/>
  <c r="J8"/>
  <c r="I8"/>
  <c r="J7" i="14"/>
  <c r="I7"/>
  <c r="F8"/>
  <c r="E6"/>
  <c r="J8"/>
  <c r="I8"/>
  <c r="J9" i="15"/>
  <c r="J6"/>
  <c r="J5"/>
  <c r="I9"/>
  <c r="I6"/>
  <c r="I5"/>
  <c r="E8" i="13"/>
  <c r="J8"/>
  <c r="I4"/>
  <c r="J4"/>
  <c r="I8"/>
  <c r="J8" i="5"/>
  <c r="I8"/>
  <c r="J4"/>
  <c r="I4"/>
  <c r="J8" i="4"/>
  <c r="J5"/>
  <c r="I6"/>
  <c r="J6"/>
  <c r="I8"/>
  <c r="I5"/>
  <c r="J8" i="1"/>
  <c r="J5"/>
  <c r="I6"/>
  <c r="J6"/>
  <c r="I8"/>
  <c r="H8" i="12"/>
  <c r="I5" i="1"/>
  <c r="J9" i="14"/>
  <c r="J5"/>
  <c r="I6"/>
  <c r="H6"/>
  <c r="J6"/>
  <c r="I9"/>
  <c r="I5"/>
  <c r="H11" i="15"/>
  <c r="H10" i="4"/>
  <c r="J7"/>
  <c r="I7"/>
  <c r="H10" i="1"/>
  <c r="J7"/>
  <c r="I7"/>
  <c r="H11" i="13"/>
  <c r="I6"/>
  <c r="J6"/>
  <c r="H11" i="5"/>
  <c r="J6"/>
  <c r="I6"/>
  <c r="H11" i="14"/>
  <c r="E8" i="15"/>
  <c r="H9" i="13"/>
  <c r="G8"/>
  <c r="H5"/>
  <c r="E4" i="5"/>
  <c r="E4" i="13"/>
  <c r="E6"/>
  <c r="G4"/>
  <c r="G6"/>
  <c r="H7"/>
  <c r="E6" i="5"/>
  <c r="H9"/>
  <c r="H7"/>
  <c r="H5"/>
  <c r="E9" i="15"/>
  <c r="F9" i="14"/>
  <c r="F8" i="13"/>
  <c r="G8" i="5"/>
  <c r="F9" i="15"/>
  <c r="E8" i="4"/>
  <c r="F6"/>
  <c r="F7"/>
  <c r="F6" i="1"/>
  <c r="F8" i="4"/>
  <c r="E9" i="14"/>
  <c r="F6"/>
  <c r="G5" i="15"/>
  <c r="F6"/>
  <c r="F8"/>
  <c r="F5"/>
  <c r="G5" i="4"/>
  <c r="G4" i="5"/>
  <c r="G5" i="1"/>
  <c r="F5"/>
  <c r="G5" i="14"/>
  <c r="E6" i="15"/>
  <c r="E5" i="1"/>
  <c r="E5" i="15"/>
  <c r="E8" i="5"/>
  <c r="F4" i="16"/>
  <c r="E7" i="4"/>
  <c r="G6" i="5"/>
  <c r="F6"/>
  <c r="E6" i="4"/>
  <c r="G6" i="12"/>
  <c r="F7" i="1"/>
  <c r="E6"/>
  <c r="E7"/>
  <c r="D7" i="12"/>
  <c r="G15" i="22"/>
  <c r="G4" i="16"/>
  <c r="F9"/>
  <c r="I9"/>
  <c r="F7"/>
  <c r="H7"/>
  <c r="D9"/>
  <c r="F7" i="12"/>
  <c r="G8" i="16"/>
  <c r="F8"/>
  <c r="I8"/>
  <c r="I7"/>
  <c r="D7"/>
  <c r="D8"/>
  <c r="E8"/>
  <c r="H8"/>
  <c r="H6"/>
  <c r="I4"/>
  <c r="I4" i="12"/>
  <c r="I4" i="17"/>
  <c r="H6" i="12"/>
  <c r="H9" i="16"/>
  <c r="E9"/>
  <c r="G9"/>
  <c r="G8" i="12"/>
  <c r="H4" i="16"/>
  <c r="D4"/>
  <c r="E6" i="12"/>
  <c r="F4"/>
  <c r="F4" i="17"/>
  <c r="D6" i="12"/>
  <c r="G4"/>
  <c r="G4" i="17"/>
  <c r="G6" i="16"/>
  <c r="G6" i="17"/>
  <c r="F6" i="12"/>
  <c r="D6" i="16"/>
  <c r="G7" i="12"/>
  <c r="H7"/>
  <c r="I7"/>
  <c r="H10" i="17"/>
  <c r="E6" i="16"/>
  <c r="I6"/>
  <c r="F6"/>
  <c r="H4" i="12"/>
  <c r="I8"/>
  <c r="I6"/>
  <c r="D4"/>
  <c r="F8" i="1"/>
  <c r="E8"/>
  <c r="D8" i="17"/>
  <c r="I10"/>
  <c r="G8"/>
  <c r="F8"/>
  <c r="I8"/>
  <c r="K4" i="22"/>
  <c r="H4" i="17"/>
  <c r="H6"/>
  <c r="H8"/>
  <c r="M4" i="22"/>
  <c r="J4"/>
  <c r="D4" i="17"/>
  <c r="I7" i="18"/>
  <c r="G10" i="17"/>
  <c r="I6"/>
  <c r="K7" i="18"/>
  <c r="D6" i="17"/>
  <c r="E6"/>
  <c r="F7" i="18"/>
  <c r="G7"/>
  <c r="F6" i="17"/>
  <c r="H7" i="18"/>
  <c r="F8" i="12"/>
  <c r="F10" i="17"/>
  <c r="D8" i="12"/>
  <c r="D10" i="17"/>
  <c r="I4" i="22"/>
  <c r="H4"/>
  <c r="I6" i="18"/>
  <c r="E4" i="22"/>
  <c r="F6" i="18"/>
  <c r="G6"/>
  <c r="K6"/>
  <c r="M6"/>
  <c r="J6"/>
  <c r="M7"/>
  <c r="J7"/>
  <c r="H6"/>
  <c r="E6"/>
  <c r="E7"/>
</calcChain>
</file>

<file path=xl/sharedStrings.xml><?xml version="1.0" encoding="utf-8"?>
<sst xmlns="http://schemas.openxmlformats.org/spreadsheetml/2006/main" count="279" uniqueCount="76">
  <si>
    <t>Last bolus before activity</t>
  </si>
  <si>
    <t>Duration of activity</t>
  </si>
  <si>
    <t>Intensity of activity</t>
  </si>
  <si>
    <t>Eating within 90 minutes after activity</t>
  </si>
  <si>
    <t>90- 180 mins</t>
  </si>
  <si>
    <t>&gt;180 mins</t>
  </si>
  <si>
    <t>Scenario</t>
  </si>
  <si>
    <t>Minimum suggested carbohydrate (g) at meal after exercise within 90 minutes</t>
  </si>
  <si>
    <t>CHO (g)</t>
  </si>
  <si>
    <t>Post-meal bolus reduction or extra carbohydrate without bolus</t>
  </si>
  <si>
    <t>Full insulin or % reduction</t>
  </si>
  <si>
    <t>Timing of bolus before activity</t>
  </si>
  <si>
    <t>Weight (kg)</t>
  </si>
  <si>
    <t>Name  of exerciser</t>
  </si>
  <si>
    <t>MDI Endurance Plan</t>
  </si>
  <si>
    <t>When to start consuming and how to spread out</t>
  </si>
  <si>
    <t>Name of activity and day or days doing</t>
  </si>
  <si>
    <t xml:space="preserve">Meal before activity </t>
  </si>
  <si>
    <t>During activity</t>
  </si>
  <si>
    <t>After activity</t>
  </si>
  <si>
    <t>Options to prevent hypoglycaemia in the night if activtiy is 60 minutes or more</t>
  </si>
  <si>
    <t>MDI Intermittent Plan</t>
  </si>
  <si>
    <t>MDI Anerobic Plan</t>
  </si>
  <si>
    <t>Full insulin or % increase</t>
  </si>
  <si>
    <t>Full Bolus pre-meal 0- 90 mins</t>
  </si>
  <si>
    <t>Minimum suggested protein (g) at meal after exercise within 90 minutes</t>
  </si>
  <si>
    <t>Increasing pre-meal bolus 0- 90 mins</t>
  </si>
  <si>
    <t>Reducing pre-meal bolus 0- 90 mins</t>
  </si>
  <si>
    <t>MDI or Pump</t>
  </si>
  <si>
    <t>Type of Activity</t>
  </si>
  <si>
    <t>Football Saturday and Sunday</t>
  </si>
  <si>
    <t>John Pemberton</t>
  </si>
  <si>
    <t>Pump Anerobic Plan</t>
  </si>
  <si>
    <t>Pump Intermittent Plan</t>
  </si>
  <si>
    <t>Pump Endurance Plan</t>
  </si>
  <si>
    <t>Activity &amp; day</t>
  </si>
  <si>
    <t>Eating after</t>
  </si>
  <si>
    <t>How intense</t>
  </si>
  <si>
    <t>How many minutes</t>
  </si>
  <si>
    <t>BG check 10 minutes before &amp; half way through the activity, or every 30 minutes</t>
  </si>
  <si>
    <t>BG check and action after activity</t>
  </si>
  <si>
    <t>Meal before activity</t>
  </si>
  <si>
    <t>When to start consuming fast acting carbohydrate and how to spread out</t>
  </si>
  <si>
    <t>Preference for extra CHO or activity is unplanned  vs. Preference for insulin reduction and less CHO</t>
  </si>
  <si>
    <t>Action to prevent after activity hypoglycaemia</t>
  </si>
  <si>
    <t>Before activity considerations</t>
  </si>
  <si>
    <t>Minimum CHO (g) at meal</t>
  </si>
  <si>
    <t>Minimum Protein (g) at meal</t>
  </si>
  <si>
    <t>Extra carbohydrate or unplanned  vs. Insulin reduction and less carbohydrate</t>
  </si>
  <si>
    <t>Age: years and months</t>
  </si>
  <si>
    <t>Options to prevent hypoglycaemia in the night if activity is more than 30 minutes</t>
  </si>
  <si>
    <t>CHO or insulin</t>
  </si>
  <si>
    <t>If you have had a hypo or done a heavy bout of exercise in the last 24 hours, you are at increased risk of hypoglycaemia. For safety  you may need greater insulin reduction or extra carbohydrate than planned. Also you may need more hypo treatment than usual</t>
  </si>
  <si>
    <t xml:space="preserve">Ketones &gt;0.5mmol/l: No exercise: If ketones 0.6-1.4mmol/l give 10% of total daily insulin dose;  If ketones &gt;1.4mmol/l give 20% of total daily insulin dose. </t>
  </si>
  <si>
    <t xml:space="preserve">Ketones &gt;0.5mmol/l: If ketones 0.6-1.4mmol/l give 10% of total daily insulin dose;  If ketones &gt;1.4mmol/l give 20% of total daily insulin dose. </t>
  </si>
  <si>
    <t>Option 1</t>
  </si>
  <si>
    <t>Option 2</t>
  </si>
  <si>
    <r>
      <rPr>
        <b/>
        <sz val="10"/>
        <color theme="1"/>
        <rFont val="Montserrat"/>
        <family val="3"/>
      </rPr>
      <t>&lt;4mmol/l</t>
    </r>
    <r>
      <rPr>
        <sz val="10"/>
        <color theme="1"/>
        <rFont val="Montserrat"/>
        <family val="3"/>
      </rPr>
      <t>: Treat hypoglycaemia</t>
    </r>
  </si>
  <si>
    <r>
      <rPr>
        <b/>
        <sz val="10"/>
        <color theme="1"/>
        <rFont val="Montserrat"/>
        <family val="3"/>
      </rPr>
      <t>&lt;5mmol/l</t>
    </r>
    <r>
      <rPr>
        <sz val="10"/>
        <color theme="1"/>
        <rFont val="Montserrat"/>
        <family val="3"/>
      </rPr>
      <t>: 10g CHO more than plan</t>
    </r>
  </si>
  <si>
    <r>
      <rPr>
        <b/>
        <sz val="10"/>
        <color theme="1"/>
        <rFont val="Montserrat"/>
        <family val="3"/>
      </rPr>
      <t>&gt; 14mmol/l:</t>
    </r>
    <r>
      <rPr>
        <sz val="10"/>
        <color theme="1"/>
        <rFont val="Montserrat"/>
        <family val="3"/>
      </rPr>
      <t xml:space="preserve"> Check for ketones </t>
    </r>
  </si>
  <si>
    <t>Age: Years</t>
  </si>
  <si>
    <t xml:space="preserve">If you have had a hypo or done a heavy bout of exercise in the last 24 hours, you are at increased risk of hypoglycaemia. </t>
  </si>
  <si>
    <t>&lt;4mmol/l: Treat hypoglycaemia</t>
  </si>
  <si>
    <t>&lt;5mmol/l: 10g CHO more than plan</t>
  </si>
  <si>
    <t>5 – 10mmol/l: Continue with plan</t>
  </si>
  <si>
    <t>4.0 – 8.0mmol/l: Continue with plan</t>
  </si>
  <si>
    <t>10 – 14mmol/l: If planned CHO, delay until next BG check at half way or in 30 minutes</t>
  </si>
  <si>
    <t xml:space="preserve">&gt; 14mmol/l: Check for ketones </t>
  </si>
  <si>
    <t>Ketones &lt;0.6mmol/l: If planned CHO, delay until next test and consider half usual correction dose</t>
  </si>
  <si>
    <t>Ketones &lt;0.6mmol/l: Consider half usual correction dose rather than full dose due to risk of hypoglycaemia</t>
  </si>
  <si>
    <t xml:space="preserve">Extra carbohydrate OR Insulin reduction </t>
  </si>
  <si>
    <r>
      <rPr>
        <b/>
        <u/>
        <sz val="12"/>
        <color theme="0"/>
        <rFont val="Calibri Light"/>
        <family val="2"/>
      </rPr>
      <t xml:space="preserve">During </t>
    </r>
    <r>
      <rPr>
        <b/>
        <sz val="12"/>
        <color theme="0"/>
        <rFont val="Calibri Light"/>
        <family val="2"/>
      </rPr>
      <t>activity</t>
    </r>
  </si>
  <si>
    <r>
      <rPr>
        <b/>
        <u/>
        <sz val="12"/>
        <color theme="0"/>
        <rFont val="Calibri Light"/>
        <family val="2"/>
      </rPr>
      <t>Afte</t>
    </r>
    <r>
      <rPr>
        <b/>
        <sz val="12"/>
        <color theme="0"/>
        <rFont val="Calibri Light"/>
        <family val="2"/>
      </rPr>
      <t>r activity</t>
    </r>
  </si>
  <si>
    <r>
      <rPr>
        <b/>
        <sz val="12"/>
        <color theme="1"/>
        <rFont val="Calibri Light"/>
        <family val="2"/>
      </rPr>
      <t xml:space="preserve">Disclaimer:
</t>
    </r>
    <r>
      <rPr>
        <sz val="12"/>
        <color theme="1"/>
        <rFont val="Calibri Light"/>
        <family val="2"/>
      </rPr>
      <t>This calculator shows exercise management options based on the latest clinical evidence and 1000's of hours of Type 1 Diabetes experience. However we are not your Health Care Professionals. Always consult your health care professional before trying a plan.</t>
    </r>
  </si>
  <si>
    <t>Exercise Calculator</t>
  </si>
  <si>
    <r>
      <rPr>
        <b/>
        <sz val="11"/>
        <color theme="1"/>
        <rFont val="Calibri Light"/>
        <family val="2"/>
      </rPr>
      <t xml:space="preserve">Step 1:
</t>
    </r>
    <r>
      <rPr>
        <sz val="11"/>
        <color theme="1"/>
        <rFont val="Calibri Light"/>
        <family val="2"/>
      </rPr>
      <t xml:space="preserve">Complete all the cells on the right. Read the instructions that appear when you select the cell. All cells are set as 1 for defualt and require personalizing.
</t>
    </r>
    <r>
      <rPr>
        <b/>
        <sz val="11"/>
        <color theme="1"/>
        <rFont val="Calibri Light"/>
        <family val="2"/>
      </rPr>
      <t>Step 2:</t>
    </r>
    <r>
      <rPr>
        <sz val="11"/>
        <color theme="1"/>
        <rFont val="Calibri Light"/>
        <family val="2"/>
      </rPr>
      <t xml:space="preserve">
Please press enter on the final cell "Eating after"
</t>
    </r>
    <r>
      <rPr>
        <b/>
        <sz val="11"/>
        <color theme="1"/>
        <rFont val="Calibri Light"/>
        <family val="2"/>
      </rPr>
      <t>Step 3:</t>
    </r>
    <r>
      <rPr>
        <sz val="11"/>
        <color theme="1"/>
        <rFont val="Calibri Light"/>
        <family val="2"/>
      </rPr>
      <t xml:space="preserve">
Select the tab "The Plan"
</t>
    </r>
    <r>
      <rPr>
        <b/>
        <sz val="11"/>
        <color theme="1"/>
        <rFont val="Calibri Light"/>
        <family val="2"/>
      </rPr>
      <t>Step 4:</t>
    </r>
    <r>
      <rPr>
        <sz val="11"/>
        <color theme="1"/>
        <rFont val="Calibri Light"/>
        <family val="2"/>
      </rPr>
      <t xml:space="preserve">
Print or take a picture of your plan
</t>
    </r>
    <r>
      <rPr>
        <b/>
        <sz val="11"/>
        <color theme="1"/>
        <rFont val="Calibri Light"/>
        <family val="2"/>
      </rPr>
      <t>Step 5:</t>
    </r>
    <r>
      <rPr>
        <sz val="11"/>
        <color theme="1"/>
        <rFont val="Calibri Light"/>
        <family val="2"/>
      </rPr>
      <t xml:space="preserve">
Adjust the plan accoring to your previous experience or from monitoring is effectivenss</t>
    </r>
  </si>
</sst>
</file>

<file path=xl/styles.xml><?xml version="1.0" encoding="utf-8"?>
<styleSheet xmlns="http://schemas.openxmlformats.org/spreadsheetml/2006/main">
  <numFmts count="1">
    <numFmt numFmtId="164" formatCode="0.0"/>
  </numFmts>
  <fonts count="28">
    <font>
      <sz val="11"/>
      <color theme="1"/>
      <name val="Calibri"/>
      <family val="2"/>
      <scheme val="minor"/>
    </font>
    <font>
      <b/>
      <sz val="11"/>
      <color theme="1"/>
      <name val="Calibri"/>
      <family val="2"/>
      <scheme val="minor"/>
    </font>
    <font>
      <b/>
      <i/>
      <sz val="11"/>
      <color theme="1"/>
      <name val="Calibri"/>
      <family val="2"/>
      <scheme val="minor"/>
    </font>
    <font>
      <b/>
      <sz val="20"/>
      <color theme="1"/>
      <name val="Calibri"/>
      <family val="2"/>
      <scheme val="minor"/>
    </font>
    <font>
      <b/>
      <sz val="14"/>
      <color theme="1"/>
      <name val="Calibri"/>
      <family val="2"/>
      <scheme val="minor"/>
    </font>
    <font>
      <sz val="16"/>
      <color theme="1"/>
      <name val="Calibri"/>
      <family val="2"/>
      <scheme val="minor"/>
    </font>
    <font>
      <b/>
      <sz val="16"/>
      <color theme="1"/>
      <name val="Calibri"/>
      <family val="2"/>
      <scheme val="minor"/>
    </font>
    <font>
      <sz val="12"/>
      <color theme="1"/>
      <name val="Calibri"/>
      <family val="2"/>
      <scheme val="minor"/>
    </font>
    <font>
      <sz val="11"/>
      <color theme="1"/>
      <name val="Montserrat"/>
      <family val="3"/>
    </font>
    <font>
      <b/>
      <sz val="12"/>
      <color theme="1"/>
      <name val="Montserrat"/>
      <family val="3"/>
    </font>
    <font>
      <b/>
      <sz val="14"/>
      <color theme="1"/>
      <name val="Montserrat"/>
      <family val="3"/>
    </font>
    <font>
      <b/>
      <i/>
      <sz val="11"/>
      <color theme="1"/>
      <name val="Montserrat"/>
      <family val="3"/>
    </font>
    <font>
      <sz val="10"/>
      <color theme="1"/>
      <name val="Montserrat"/>
      <family val="3"/>
    </font>
    <font>
      <sz val="10"/>
      <color theme="0" tint="-0.34998626667073579"/>
      <name val="Montserrat"/>
      <family val="3"/>
    </font>
    <font>
      <sz val="11"/>
      <color theme="0" tint="-0.34998626667073579"/>
      <name val="Montserrat"/>
      <family val="3"/>
    </font>
    <font>
      <b/>
      <sz val="10"/>
      <color theme="1"/>
      <name val="Montserrat"/>
      <family val="3"/>
    </font>
    <font>
      <b/>
      <sz val="10"/>
      <color rgb="FF000000"/>
      <name val="Montserrat"/>
      <family val="3"/>
    </font>
    <font>
      <sz val="8"/>
      <color theme="1"/>
      <name val="Calibri"/>
      <family val="2"/>
      <scheme val="minor"/>
    </font>
    <font>
      <b/>
      <sz val="8"/>
      <color theme="1"/>
      <name val="Calibri"/>
      <family val="2"/>
      <scheme val="minor"/>
    </font>
    <font>
      <sz val="8"/>
      <color theme="0" tint="-0.34998626667073579"/>
      <name val="Calibri"/>
      <family val="2"/>
      <scheme val="minor"/>
    </font>
    <font>
      <b/>
      <sz val="12"/>
      <color theme="1"/>
      <name val="Calibri Light"/>
      <family val="2"/>
    </font>
    <font>
      <b/>
      <sz val="12"/>
      <color theme="0"/>
      <name val="Calibri Light"/>
      <family val="2"/>
    </font>
    <font>
      <b/>
      <u/>
      <sz val="12"/>
      <color theme="0"/>
      <name val="Calibri Light"/>
      <family val="2"/>
    </font>
    <font>
      <b/>
      <i/>
      <sz val="12"/>
      <color theme="0"/>
      <name val="Calibri Light"/>
      <family val="2"/>
    </font>
    <font>
      <sz val="12"/>
      <color theme="1"/>
      <name val="Calibri Light"/>
      <family val="2"/>
    </font>
    <font>
      <sz val="11"/>
      <color theme="1"/>
      <name val="Calibri Light"/>
      <family val="2"/>
    </font>
    <font>
      <b/>
      <sz val="11"/>
      <color theme="1"/>
      <name val="Calibri Light"/>
      <family val="2"/>
    </font>
    <font>
      <b/>
      <sz val="30"/>
      <color theme="0"/>
      <name val="Calibri Light"/>
      <family val="2"/>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theme="0"/>
      </patternFill>
    </fill>
    <fill>
      <patternFill patternType="solid">
        <fgColor rgb="FF00B0F0"/>
        <bgColor indexed="64"/>
      </patternFill>
    </fill>
    <fill>
      <patternFill patternType="solid">
        <fgColor theme="0"/>
        <bgColor indexed="64"/>
      </patternFill>
    </fill>
    <fill>
      <gradientFill>
        <stop position="0">
          <color theme="1"/>
        </stop>
        <stop position="1">
          <color rgb="FF00B0F0"/>
        </stop>
      </gradientFill>
    </fill>
    <fill>
      <gradientFill>
        <stop position="0">
          <color theme="1" tint="5.0965910824915313E-2"/>
        </stop>
        <stop position="1">
          <color rgb="FF00B0F0"/>
        </stop>
      </gradientFill>
    </fill>
    <fill>
      <gradientFill>
        <stop position="0">
          <color theme="8" tint="0.59999389629810485"/>
        </stop>
        <stop position="1">
          <color theme="0"/>
        </stop>
      </gradientFill>
    </fill>
    <fill>
      <gradientFill>
        <stop position="0">
          <color theme="0"/>
        </stop>
        <stop position="1">
          <color theme="8" tint="0.59999389629810485"/>
        </stop>
      </gradientFill>
    </fill>
  </fills>
  <borders count="2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ck">
        <color auto="1"/>
      </left>
      <right style="thin">
        <color auto="1"/>
      </right>
      <top style="thin">
        <color auto="1"/>
      </top>
      <bottom style="thin">
        <color auto="1"/>
      </bottom>
      <diagonal/>
    </border>
    <border>
      <left style="thick">
        <color auto="1"/>
      </left>
      <right/>
      <top style="thin">
        <color auto="1"/>
      </top>
      <bottom style="thin">
        <color auto="1"/>
      </bottom>
      <diagonal/>
    </border>
    <border>
      <left style="thick">
        <color auto="1"/>
      </left>
      <right/>
      <top/>
      <bottom style="thin">
        <color auto="1"/>
      </bottom>
      <diagonal/>
    </border>
    <border>
      <left style="thick">
        <color auto="1"/>
      </left>
      <right style="thick">
        <color auto="1"/>
      </right>
      <top style="thick">
        <color auto="1"/>
      </top>
      <bottom style="thick">
        <color auto="1"/>
      </bottom>
      <diagonal/>
    </border>
  </borders>
  <cellStyleXfs count="1">
    <xf numFmtId="0" fontId="0" fillId="0" borderId="0"/>
  </cellStyleXfs>
  <cellXfs count="168">
    <xf numFmtId="0" fontId="0" fillId="0" borderId="0" xfId="0"/>
    <xf numFmtId="0" fontId="1" fillId="0" borderId="1" xfId="0" applyFont="1" applyBorder="1" applyAlignment="1" applyProtection="1">
      <alignment horizontal="center" wrapText="1"/>
    </xf>
    <xf numFmtId="0" fontId="0" fillId="0" borderId="1" xfId="0" applyBorder="1" applyAlignment="1" applyProtection="1">
      <alignment horizontal="center" wrapText="1"/>
    </xf>
    <xf numFmtId="0" fontId="0" fillId="0" borderId="0" xfId="0" applyAlignment="1" applyProtection="1">
      <alignment horizontal="center" wrapText="1"/>
    </xf>
    <xf numFmtId="0" fontId="3" fillId="0" borderId="2" xfId="0" applyFont="1" applyBorder="1" applyAlignment="1" applyProtection="1">
      <alignment horizontal="center" wrapText="1"/>
    </xf>
    <xf numFmtId="0" fontId="4" fillId="0" borderId="1" xfId="0" applyFont="1" applyBorder="1" applyAlignment="1" applyProtection="1">
      <alignment horizontal="center" wrapText="1"/>
    </xf>
    <xf numFmtId="0" fontId="4" fillId="0" borderId="1" xfId="0" applyFont="1" applyBorder="1" applyAlignment="1" applyProtection="1">
      <alignment horizontal="center" wrapText="1"/>
    </xf>
    <xf numFmtId="0" fontId="2" fillId="0" borderId="1" xfId="0" applyFont="1" applyBorder="1" applyAlignment="1" applyProtection="1">
      <alignment horizontal="center" wrapText="1"/>
    </xf>
    <xf numFmtId="1" fontId="0" fillId="0" borderId="0" xfId="0" applyNumberFormat="1" applyAlignment="1" applyProtection="1">
      <alignment horizontal="center" wrapText="1"/>
    </xf>
    <xf numFmtId="0" fontId="0" fillId="0" borderId="1" xfId="0" applyBorder="1" applyAlignment="1" applyProtection="1">
      <alignment horizontal="center" wrapText="1"/>
      <protection locked="0"/>
    </xf>
    <xf numFmtId="0" fontId="4" fillId="0" borderId="1" xfId="0" applyFont="1" applyBorder="1" applyAlignment="1" applyProtection="1">
      <alignment horizontal="center" wrapText="1"/>
    </xf>
    <xf numFmtId="0" fontId="3" fillId="0" borderId="2" xfId="0" applyFont="1" applyBorder="1" applyAlignment="1" applyProtection="1">
      <alignment horizontal="center" wrapText="1"/>
    </xf>
    <xf numFmtId="0" fontId="2" fillId="0" borderId="4" xfId="0" applyFont="1" applyBorder="1" applyAlignment="1" applyProtection="1">
      <alignment horizontal="center" wrapText="1"/>
    </xf>
    <xf numFmtId="0" fontId="2" fillId="0" borderId="5" xfId="0" applyFont="1" applyBorder="1" applyAlignment="1" applyProtection="1">
      <alignment horizontal="center" wrapText="1"/>
    </xf>
    <xf numFmtId="1" fontId="0" fillId="0" borderId="4" xfId="0" applyNumberFormat="1" applyBorder="1" applyAlignment="1" applyProtection="1">
      <alignment horizontal="center" wrapText="1"/>
    </xf>
    <xf numFmtId="0" fontId="0" fillId="0" borderId="5" xfId="0" applyBorder="1" applyAlignment="1" applyProtection="1">
      <alignment horizontal="center" wrapText="1"/>
    </xf>
    <xf numFmtId="1" fontId="0" fillId="0" borderId="1" xfId="0" applyNumberFormat="1" applyBorder="1" applyAlignment="1" applyProtection="1">
      <alignment horizontal="center" wrapText="1"/>
    </xf>
    <xf numFmtId="0" fontId="0" fillId="0" borderId="1" xfId="0" applyBorder="1" applyAlignment="1" applyProtection="1">
      <alignment horizontal="center" wrapText="1"/>
    </xf>
    <xf numFmtId="0" fontId="3" fillId="0" borderId="2" xfId="0" applyFont="1" applyBorder="1" applyAlignment="1" applyProtection="1">
      <alignment horizontal="center" wrapText="1"/>
    </xf>
    <xf numFmtId="0" fontId="4" fillId="0" borderId="1" xfId="0" applyFont="1" applyBorder="1" applyAlignment="1" applyProtection="1">
      <alignment horizontal="center" wrapText="1"/>
    </xf>
    <xf numFmtId="0" fontId="0" fillId="0" borderId="0" xfId="0" applyAlignment="1">
      <alignment wrapText="1"/>
    </xf>
    <xf numFmtId="0" fontId="0" fillId="0" borderId="2" xfId="0" applyBorder="1" applyAlignment="1">
      <alignment wrapText="1"/>
    </xf>
    <xf numFmtId="0" fontId="1" fillId="0" borderId="1" xfId="0" applyFont="1" applyBorder="1" applyAlignment="1" applyProtection="1">
      <alignment wrapText="1"/>
    </xf>
    <xf numFmtId="0" fontId="1" fillId="0" borderId="1" xfId="0" applyFont="1" applyBorder="1" applyAlignment="1">
      <alignment wrapText="1"/>
    </xf>
    <xf numFmtId="0" fontId="0" fillId="2" borderId="1" xfId="0" applyFill="1" applyBorder="1" applyAlignment="1" applyProtection="1">
      <alignment horizontal="center" wrapText="1"/>
      <protection locked="0"/>
    </xf>
    <xf numFmtId="0" fontId="1" fillId="0" borderId="0" xfId="0" applyFont="1" applyBorder="1" applyAlignment="1">
      <alignment wrapText="1"/>
    </xf>
    <xf numFmtId="1" fontId="0" fillId="2" borderId="0" xfId="0" applyNumberFormat="1" applyFill="1" applyBorder="1" applyAlignment="1" applyProtection="1">
      <alignment horizontal="center" wrapText="1"/>
      <protection locked="0"/>
    </xf>
    <xf numFmtId="0" fontId="1" fillId="0" borderId="0" xfId="0" applyFont="1" applyBorder="1" applyAlignment="1" applyProtection="1">
      <alignment horizontal="center" wrapText="1"/>
    </xf>
    <xf numFmtId="0" fontId="0" fillId="0" borderId="1" xfId="0" applyBorder="1" applyAlignment="1" applyProtection="1">
      <alignment horizontal="center" wrapText="1"/>
    </xf>
    <xf numFmtId="0" fontId="1" fillId="0" borderId="3" xfId="0" applyFont="1" applyBorder="1" applyAlignment="1" applyProtection="1">
      <alignment wrapText="1"/>
    </xf>
    <xf numFmtId="0" fontId="0" fillId="0" borderId="3" xfId="0" applyBorder="1" applyAlignment="1">
      <alignment wrapText="1"/>
    </xf>
    <xf numFmtId="0" fontId="1" fillId="0" borderId="0" xfId="0" applyFont="1" applyBorder="1" applyAlignment="1" applyProtection="1">
      <alignment horizontal="center" wrapText="1"/>
    </xf>
    <xf numFmtId="0" fontId="0" fillId="0" borderId="1" xfId="0" applyBorder="1" applyAlignment="1" applyProtection="1">
      <alignment horizontal="center" wrapText="1"/>
    </xf>
    <xf numFmtId="0" fontId="1" fillId="0" borderId="0" xfId="0" applyFont="1" applyBorder="1" applyAlignment="1" applyProtection="1">
      <alignment horizontal="center" wrapText="1"/>
    </xf>
    <xf numFmtId="0" fontId="0" fillId="0" borderId="1" xfId="0" applyBorder="1" applyAlignment="1" applyProtection="1">
      <alignment horizontal="center" wrapText="1"/>
    </xf>
    <xf numFmtId="0" fontId="1" fillId="0" borderId="1" xfId="0" applyFont="1" applyBorder="1" applyAlignment="1" applyProtection="1">
      <alignment horizontal="center" wrapText="1"/>
    </xf>
    <xf numFmtId="1" fontId="0" fillId="0" borderId="1" xfId="0" applyNumberFormat="1" applyBorder="1" applyAlignment="1" applyProtection="1">
      <alignment horizontal="center" wrapText="1"/>
    </xf>
    <xf numFmtId="0" fontId="0" fillId="0" borderId="1" xfId="0" applyBorder="1" applyAlignment="1" applyProtection="1">
      <alignment horizontal="center" wrapText="1"/>
    </xf>
    <xf numFmtId="1" fontId="0" fillId="0" borderId="0" xfId="0" applyNumberFormat="1" applyAlignment="1">
      <alignment wrapText="1"/>
    </xf>
    <xf numFmtId="0" fontId="0" fillId="0" borderId="0" xfId="0" applyAlignment="1">
      <alignment horizontal="center"/>
    </xf>
    <xf numFmtId="0" fontId="17" fillId="6" borderId="0" xfId="0" applyFont="1" applyFill="1"/>
    <xf numFmtId="0" fontId="17" fillId="6" borderId="14" xfId="0" applyFont="1" applyFill="1" applyBorder="1"/>
    <xf numFmtId="0" fontId="18" fillId="6" borderId="1" xfId="0" applyFont="1" applyFill="1" applyBorder="1" applyAlignment="1" applyProtection="1">
      <alignment horizontal="center" wrapText="1"/>
    </xf>
    <xf numFmtId="0" fontId="17" fillId="6" borderId="1" xfId="0" applyFont="1" applyFill="1" applyBorder="1" applyAlignment="1" applyProtection="1">
      <alignment horizontal="center" wrapText="1"/>
      <protection locked="0"/>
    </xf>
    <xf numFmtId="1" fontId="17" fillId="6" borderId="1" xfId="0" applyNumberFormat="1" applyFont="1" applyFill="1" applyBorder="1" applyAlignment="1" applyProtection="1">
      <alignment horizontal="center" wrapText="1"/>
      <protection locked="0"/>
    </xf>
    <xf numFmtId="1" fontId="19" fillId="6" borderId="0" xfId="0" applyNumberFormat="1" applyFont="1" applyFill="1" applyBorder="1" applyAlignment="1" applyProtection="1">
      <alignment horizontal="center" wrapText="1"/>
    </xf>
    <xf numFmtId="0" fontId="17" fillId="4" borderId="14" xfId="0" applyFont="1" applyFill="1" applyBorder="1"/>
    <xf numFmtId="0" fontId="19" fillId="6" borderId="0" xfId="0" applyFont="1" applyFill="1"/>
    <xf numFmtId="0" fontId="18" fillId="6" borderId="6" xfId="0" applyFont="1" applyFill="1" applyBorder="1" applyAlignment="1" applyProtection="1">
      <alignment wrapText="1"/>
    </xf>
    <xf numFmtId="164" fontId="17" fillId="6" borderId="1" xfId="0" applyNumberFormat="1" applyFont="1" applyFill="1" applyBorder="1" applyAlignment="1" applyProtection="1">
      <alignment horizontal="center" wrapText="1"/>
      <protection locked="0"/>
    </xf>
    <xf numFmtId="0" fontId="17" fillId="6" borderId="1" xfId="0" applyFont="1" applyFill="1" applyBorder="1" applyAlignment="1" applyProtection="1">
      <alignment horizontal="center" wrapText="1"/>
    </xf>
    <xf numFmtId="0" fontId="20" fillId="6" borderId="2" xfId="0" applyFont="1" applyFill="1" applyBorder="1" applyAlignment="1" applyProtection="1">
      <alignment horizontal="center" vertical="center" wrapText="1"/>
    </xf>
    <xf numFmtId="0" fontId="21" fillId="5" borderId="8" xfId="0" applyFont="1" applyFill="1" applyBorder="1" applyAlignment="1" applyProtection="1">
      <alignment horizontal="center" vertical="center" wrapText="1"/>
    </xf>
    <xf numFmtId="0" fontId="21" fillId="5" borderId="7" xfId="0" applyFont="1" applyFill="1" applyBorder="1" applyAlignment="1" applyProtection="1">
      <alignment horizontal="center" vertical="center" wrapText="1"/>
    </xf>
    <xf numFmtId="0" fontId="23" fillId="8" borderId="1" xfId="0" applyFont="1" applyFill="1" applyBorder="1" applyAlignment="1" applyProtection="1">
      <alignment horizontal="center" vertical="center" wrapText="1"/>
    </xf>
    <xf numFmtId="0" fontId="21" fillId="8" borderId="12" xfId="0" applyFont="1" applyFill="1" applyBorder="1" applyAlignment="1" applyProtection="1">
      <alignment horizontal="center" vertical="center" wrapText="1"/>
    </xf>
    <xf numFmtId="0" fontId="21" fillId="8" borderId="15" xfId="0" applyFont="1" applyFill="1" applyBorder="1" applyAlignment="1" applyProtection="1">
      <alignment horizontal="center" vertical="center" wrapText="1"/>
    </xf>
    <xf numFmtId="0" fontId="24" fillId="6" borderId="0" xfId="0" applyFont="1" applyFill="1" applyAlignment="1">
      <alignment horizontal="center" vertical="center"/>
    </xf>
    <xf numFmtId="0" fontId="24" fillId="9" borderId="1" xfId="0" applyFont="1" applyFill="1" applyBorder="1" applyAlignment="1" applyProtection="1">
      <alignment horizontal="center" vertical="center" wrapText="1"/>
    </xf>
    <xf numFmtId="0" fontId="20" fillId="9" borderId="1" xfId="0" applyFont="1" applyFill="1" applyBorder="1" applyAlignment="1" applyProtection="1">
      <alignment horizontal="center" wrapText="1"/>
    </xf>
    <xf numFmtId="0" fontId="24" fillId="9" borderId="8" xfId="0" applyFont="1" applyFill="1" applyBorder="1" applyAlignment="1" applyProtection="1">
      <alignment horizontal="center" vertical="center" wrapText="1"/>
    </xf>
    <xf numFmtId="0" fontId="24" fillId="9" borderId="15" xfId="0" applyFont="1" applyFill="1" applyBorder="1" applyAlignment="1" applyProtection="1">
      <alignment horizontal="center" vertical="center" wrapText="1"/>
    </xf>
    <xf numFmtId="0" fontId="24" fillId="9" borderId="10" xfId="0" applyFont="1" applyFill="1" applyBorder="1" applyAlignment="1" applyProtection="1">
      <alignment horizontal="center" vertical="center" wrapText="1"/>
    </xf>
    <xf numFmtId="0" fontId="24" fillId="9" borderId="2" xfId="0" applyFont="1" applyFill="1" applyBorder="1" applyAlignment="1" applyProtection="1">
      <alignment horizontal="center" vertical="center" wrapText="1"/>
    </xf>
    <xf numFmtId="0" fontId="24" fillId="9" borderId="3" xfId="0" applyFont="1" applyFill="1" applyBorder="1" applyAlignment="1" applyProtection="1">
      <alignment horizontal="center" vertical="center" wrapText="1"/>
    </xf>
    <xf numFmtId="0" fontId="25" fillId="0" borderId="0" xfId="0" applyFont="1" applyBorder="1" applyAlignment="1">
      <alignment horizontal="center"/>
    </xf>
    <xf numFmtId="0" fontId="25" fillId="0" borderId="0" xfId="0" applyFont="1" applyAlignment="1">
      <alignment horizontal="center"/>
    </xf>
    <xf numFmtId="0" fontId="8" fillId="0" borderId="0" xfId="0" applyFont="1" applyAlignment="1">
      <alignment horizontal="center" vertical="center"/>
    </xf>
    <xf numFmtId="0" fontId="9" fillId="0" borderId="2" xfId="0" applyFont="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2" fillId="0" borderId="6" xfId="0" applyFont="1" applyBorder="1" applyAlignment="1" applyProtection="1">
      <alignment horizontal="center" vertical="center" wrapText="1"/>
    </xf>
    <xf numFmtId="1" fontId="12" fillId="0" borderId="6" xfId="0" applyNumberFormat="1" applyFont="1" applyBorder="1" applyAlignment="1" applyProtection="1">
      <alignment horizontal="center" vertical="center" wrapText="1"/>
    </xf>
    <xf numFmtId="1" fontId="13" fillId="0" borderId="0" xfId="0" applyNumberFormat="1"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1" fontId="12" fillId="0" borderId="7" xfId="0" applyNumberFormat="1" applyFont="1" applyBorder="1" applyAlignment="1" applyProtection="1">
      <alignment horizontal="center" vertical="center" wrapText="1"/>
    </xf>
    <xf numFmtId="0" fontId="14" fillId="0" borderId="0" xfId="0" applyFont="1" applyAlignment="1">
      <alignment horizontal="center" vertical="center"/>
    </xf>
    <xf numFmtId="0" fontId="15" fillId="3" borderId="6" xfId="0"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23" fillId="8" borderId="4" xfId="0" applyFont="1" applyFill="1" applyBorder="1" applyAlignment="1" applyProtection="1">
      <alignment horizontal="center" vertical="center" wrapText="1"/>
    </xf>
    <xf numFmtId="0" fontId="23" fillId="8" borderId="16" xfId="0" applyFont="1" applyFill="1" applyBorder="1" applyAlignment="1" applyProtection="1">
      <alignment horizontal="center" vertical="center" wrapText="1"/>
    </xf>
    <xf numFmtId="0" fontId="20" fillId="9" borderId="1" xfId="0" applyFont="1" applyFill="1" applyBorder="1" applyAlignment="1" applyProtection="1">
      <alignment horizontal="left" vertical="center" wrapText="1"/>
    </xf>
    <xf numFmtId="0" fontId="25" fillId="0" borderId="0" xfId="0" applyFont="1" applyAlignment="1">
      <alignment horizontal="right"/>
    </xf>
    <xf numFmtId="0" fontId="21" fillId="7" borderId="4" xfId="0" applyFont="1" applyFill="1" applyBorder="1" applyAlignment="1" applyProtection="1">
      <alignment horizontal="right" vertical="center" wrapText="1"/>
    </xf>
    <xf numFmtId="0" fontId="21" fillId="7" borderId="4" xfId="0" applyFont="1" applyFill="1" applyBorder="1" applyAlignment="1">
      <alignment horizontal="right" vertical="center" wrapText="1"/>
    </xf>
    <xf numFmtId="0" fontId="21" fillId="7" borderId="8" xfId="0" applyFont="1" applyFill="1" applyBorder="1" applyAlignment="1">
      <alignment horizontal="right" vertical="center" wrapText="1"/>
    </xf>
    <xf numFmtId="0" fontId="25" fillId="6" borderId="19" xfId="0" applyFont="1" applyFill="1" applyBorder="1" applyAlignment="1" applyProtection="1">
      <alignment horizontal="center" vertical="center" wrapText="1"/>
      <protection locked="0"/>
    </xf>
    <xf numFmtId="1" fontId="25" fillId="6" borderId="19" xfId="0" applyNumberFormat="1" applyFont="1" applyFill="1" applyBorder="1" applyAlignment="1" applyProtection="1">
      <alignment horizontal="center" vertical="center" wrapText="1"/>
      <protection locked="0"/>
    </xf>
    <xf numFmtId="0" fontId="20" fillId="9" borderId="1" xfId="0" applyFont="1" applyFill="1" applyBorder="1" applyAlignment="1" applyProtection="1">
      <alignment horizontal="center" vertical="center" wrapText="1"/>
    </xf>
    <xf numFmtId="0" fontId="20" fillId="9" borderId="4" xfId="0" applyFont="1" applyFill="1" applyBorder="1" applyAlignment="1" applyProtection="1">
      <alignment horizontal="center" wrapText="1"/>
    </xf>
    <xf numFmtId="0" fontId="20" fillId="9" borderId="16" xfId="0" applyFont="1" applyFill="1" applyBorder="1" applyAlignment="1" applyProtection="1">
      <alignment horizontal="center" vertical="center" wrapText="1"/>
    </xf>
    <xf numFmtId="1" fontId="20" fillId="9" borderId="1" xfId="0" applyNumberFormat="1" applyFont="1" applyFill="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27" fillId="7" borderId="8" xfId="0" applyFont="1" applyFill="1" applyBorder="1" applyAlignment="1">
      <alignment horizontal="center"/>
    </xf>
    <xf numFmtId="0" fontId="27" fillId="7" borderId="3" xfId="0" applyFont="1" applyFill="1" applyBorder="1" applyAlignment="1">
      <alignment horizontal="center"/>
    </xf>
    <xf numFmtId="0" fontId="27" fillId="7" borderId="9" xfId="0" applyFont="1" applyFill="1" applyBorder="1" applyAlignment="1">
      <alignment horizontal="center"/>
    </xf>
    <xf numFmtId="0" fontId="25" fillId="9" borderId="12" xfId="0" applyFont="1" applyFill="1" applyBorder="1" applyAlignment="1">
      <alignment horizontal="left" vertical="center" wrapText="1"/>
    </xf>
    <xf numFmtId="0" fontId="25" fillId="9" borderId="7" xfId="0" applyFont="1" applyFill="1" applyBorder="1" applyAlignment="1">
      <alignment horizontal="left" vertical="center" wrapText="1"/>
    </xf>
    <xf numFmtId="0" fontId="24" fillId="10" borderId="0" xfId="0" applyFont="1" applyFill="1" applyBorder="1" applyAlignment="1">
      <alignment horizontal="center" wrapText="1"/>
    </xf>
    <xf numFmtId="0" fontId="24" fillId="10" borderId="14" xfId="0" applyFont="1" applyFill="1" applyBorder="1" applyAlignment="1">
      <alignment horizontal="center" wrapText="1"/>
    </xf>
    <xf numFmtId="0" fontId="24" fillId="10" borderId="2" xfId="0" applyFont="1" applyFill="1" applyBorder="1" applyAlignment="1">
      <alignment horizontal="center" wrapText="1"/>
    </xf>
    <xf numFmtId="0" fontId="24" fillId="9" borderId="15" xfId="0" applyFont="1" applyFill="1" applyBorder="1" applyAlignment="1">
      <alignment horizontal="left" vertical="center" wrapText="1"/>
    </xf>
    <xf numFmtId="0" fontId="9" fillId="0" borderId="2" xfId="0" applyFont="1" applyBorder="1" applyAlignment="1" applyProtection="1">
      <alignment horizontal="center" vertical="center" wrapText="1"/>
    </xf>
    <xf numFmtId="0" fontId="16" fillId="3" borderId="4"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13"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8" fillId="6" borderId="1" xfId="0" applyFont="1" applyFill="1" applyBorder="1" applyAlignment="1" applyProtection="1">
      <alignment horizontal="center" wrapText="1"/>
    </xf>
    <xf numFmtId="0" fontId="21" fillId="8" borderId="8" xfId="0" applyFont="1" applyFill="1" applyBorder="1" applyAlignment="1" applyProtection="1">
      <alignment horizontal="center" vertical="center" wrapText="1"/>
    </xf>
    <xf numFmtId="0" fontId="21" fillId="8" borderId="3" xfId="0" applyFont="1" applyFill="1" applyBorder="1" applyAlignment="1" applyProtection="1">
      <alignment horizontal="center" vertical="center" wrapText="1"/>
    </xf>
    <xf numFmtId="0" fontId="21" fillId="8" borderId="9" xfId="0" applyFont="1" applyFill="1" applyBorder="1" applyAlignment="1" applyProtection="1">
      <alignment horizontal="center" vertical="center" wrapText="1"/>
    </xf>
    <xf numFmtId="0" fontId="24" fillId="9" borderId="2" xfId="0" applyFont="1" applyFill="1" applyBorder="1" applyAlignment="1" applyProtection="1">
      <alignment horizontal="center" vertical="center" wrapText="1"/>
    </xf>
    <xf numFmtId="0" fontId="24" fillId="9" borderId="11" xfId="0" applyFont="1" applyFill="1" applyBorder="1" applyAlignment="1" applyProtection="1">
      <alignment horizontal="center" vertical="center" wrapText="1"/>
    </xf>
    <xf numFmtId="0" fontId="18" fillId="6" borderId="1" xfId="0" applyFont="1" applyFill="1" applyBorder="1" applyAlignment="1">
      <alignment horizontal="center" wrapText="1"/>
    </xf>
    <xf numFmtId="0" fontId="20" fillId="9" borderId="1" xfId="0" applyFont="1" applyFill="1" applyBorder="1" applyAlignment="1" applyProtection="1">
      <alignment horizontal="left" vertical="center" wrapText="1"/>
    </xf>
    <xf numFmtId="0" fontId="24" fillId="9" borderId="8" xfId="0" applyFont="1" applyFill="1" applyBorder="1" applyAlignment="1" applyProtection="1">
      <alignment horizontal="center" vertical="center" wrapText="1"/>
    </xf>
    <xf numFmtId="0" fontId="24" fillId="9" borderId="3" xfId="0" applyFont="1" applyFill="1" applyBorder="1" applyAlignment="1" applyProtection="1">
      <alignment horizontal="center" vertical="center" wrapText="1"/>
    </xf>
    <xf numFmtId="0" fontId="24" fillId="9" borderId="9" xfId="0" applyFont="1" applyFill="1" applyBorder="1" applyAlignment="1" applyProtection="1">
      <alignment horizontal="center" vertical="center" wrapText="1"/>
    </xf>
    <xf numFmtId="0" fontId="24" fillId="9" borderId="10" xfId="0" applyFont="1" applyFill="1" applyBorder="1" applyAlignment="1" applyProtection="1">
      <alignment horizontal="center" vertical="center" wrapText="1"/>
    </xf>
    <xf numFmtId="0" fontId="24" fillId="9" borderId="4" xfId="0" applyFont="1" applyFill="1" applyBorder="1" applyAlignment="1" applyProtection="1">
      <alignment horizontal="center" vertical="center" wrapText="1"/>
    </xf>
    <xf numFmtId="0" fontId="24" fillId="9" borderId="13" xfId="0" applyFont="1" applyFill="1" applyBorder="1" applyAlignment="1" applyProtection="1">
      <alignment horizontal="center" vertical="center" wrapText="1"/>
    </xf>
    <xf numFmtId="0" fontId="24" fillId="9" borderId="17" xfId="0" applyFont="1" applyFill="1" applyBorder="1" applyAlignment="1" applyProtection="1">
      <alignment horizontal="center" vertical="center" wrapText="1"/>
    </xf>
    <xf numFmtId="0" fontId="24" fillId="9" borderId="5" xfId="0" applyFont="1" applyFill="1" applyBorder="1" applyAlignment="1" applyProtection="1">
      <alignment horizontal="center" vertical="center" wrapText="1"/>
    </xf>
    <xf numFmtId="0" fontId="21" fillId="8" borderId="10" xfId="0" applyFont="1" applyFill="1" applyBorder="1" applyAlignment="1" applyProtection="1">
      <alignment horizontal="center" vertical="center" wrapText="1"/>
    </xf>
    <xf numFmtId="0" fontId="21" fillId="8" borderId="2" xfId="0" applyFont="1" applyFill="1" applyBorder="1" applyAlignment="1" applyProtection="1">
      <alignment horizontal="center" vertical="center" wrapText="1"/>
    </xf>
    <xf numFmtId="0" fontId="21" fillId="8" borderId="18" xfId="0" applyFont="1" applyFill="1" applyBorder="1" applyAlignment="1" applyProtection="1">
      <alignment horizontal="center" vertical="center" wrapText="1"/>
    </xf>
    <xf numFmtId="0" fontId="21" fillId="8" borderId="11" xfId="0" applyFont="1" applyFill="1" applyBorder="1" applyAlignment="1" applyProtection="1">
      <alignment horizontal="center" vertical="center" wrapText="1"/>
    </xf>
    <xf numFmtId="0" fontId="20" fillId="9" borderId="6" xfId="0" applyFont="1" applyFill="1" applyBorder="1" applyAlignment="1" applyProtection="1">
      <alignment horizontal="left" vertical="center" wrapText="1"/>
    </xf>
    <xf numFmtId="0" fontId="20" fillId="9" borderId="12" xfId="0" applyFont="1" applyFill="1" applyBorder="1" applyAlignment="1" applyProtection="1">
      <alignment horizontal="left" vertical="center" wrapText="1"/>
    </xf>
    <xf numFmtId="0" fontId="20" fillId="9" borderId="7" xfId="0" applyFont="1" applyFill="1" applyBorder="1" applyAlignment="1" applyProtection="1">
      <alignment horizontal="left" vertical="center" wrapText="1"/>
    </xf>
    <xf numFmtId="0" fontId="17" fillId="6" borderId="1" xfId="0" applyFont="1" applyFill="1" applyBorder="1" applyAlignment="1" applyProtection="1">
      <alignment horizontal="center" wrapText="1"/>
      <protection locked="0"/>
    </xf>
    <xf numFmtId="0" fontId="20" fillId="6" borderId="2" xfId="0" applyFont="1" applyFill="1" applyBorder="1" applyAlignment="1" applyProtection="1">
      <alignment horizontal="center" vertical="center" wrapText="1"/>
    </xf>
    <xf numFmtId="49" fontId="21" fillId="7" borderId="9" xfId="0" applyNumberFormat="1" applyFont="1" applyFill="1" applyBorder="1" applyAlignment="1" applyProtection="1">
      <alignment horizontal="center" vertical="center" wrapText="1"/>
    </xf>
    <xf numFmtId="49" fontId="21" fillId="7" borderId="11" xfId="0" applyNumberFormat="1" applyFont="1" applyFill="1" applyBorder="1" applyAlignment="1" applyProtection="1">
      <alignment horizontal="center" vertical="center" wrapText="1"/>
    </xf>
    <xf numFmtId="0" fontId="21" fillId="8" borderId="4" xfId="0" applyFont="1" applyFill="1" applyBorder="1" applyAlignment="1" applyProtection="1">
      <alignment horizontal="center" vertical="center" wrapText="1"/>
    </xf>
    <xf numFmtId="0" fontId="21" fillId="8" borderId="13" xfId="0" applyFont="1" applyFill="1" applyBorder="1" applyAlignment="1" applyProtection="1">
      <alignment horizontal="center" vertical="center" wrapText="1"/>
    </xf>
    <xf numFmtId="0" fontId="21" fillId="8" borderId="17" xfId="0" applyFont="1" applyFill="1" applyBorder="1" applyAlignment="1" applyProtection="1">
      <alignment horizontal="center" vertical="center" wrapText="1"/>
    </xf>
    <xf numFmtId="0" fontId="21" fillId="8" borderId="5" xfId="0" applyFont="1" applyFill="1" applyBorder="1" applyAlignment="1" applyProtection="1">
      <alignment horizontal="center" vertical="center" wrapText="1"/>
    </xf>
    <xf numFmtId="0" fontId="6" fillId="0" borderId="0" xfId="0" applyFont="1" applyBorder="1" applyAlignment="1" applyProtection="1">
      <alignment horizontal="center" wrapText="1"/>
    </xf>
    <xf numFmtId="0" fontId="7" fillId="0" borderId="0" xfId="0" applyFont="1" applyBorder="1" applyAlignment="1" applyProtection="1">
      <alignment horizontal="center" wrapText="1"/>
    </xf>
    <xf numFmtId="1" fontId="0" fillId="0" borderId="6" xfId="0" applyNumberFormat="1" applyBorder="1" applyAlignment="1" applyProtection="1">
      <alignment horizontal="center" wrapText="1"/>
    </xf>
    <xf numFmtId="1" fontId="0" fillId="0" borderId="7" xfId="0" applyNumberFormat="1" applyBorder="1" applyAlignment="1" applyProtection="1">
      <alignment horizontal="center" wrapText="1"/>
    </xf>
    <xf numFmtId="0" fontId="0" fillId="0" borderId="6" xfId="0" applyBorder="1" applyAlignment="1" applyProtection="1">
      <alignment horizontal="center" wrapText="1"/>
    </xf>
    <xf numFmtId="0" fontId="0" fillId="0" borderId="7" xfId="0" applyBorder="1" applyAlignment="1" applyProtection="1">
      <alignment horizontal="center" wrapText="1"/>
    </xf>
    <xf numFmtId="1" fontId="0" fillId="0" borderId="1" xfId="0" applyNumberFormat="1" applyBorder="1" applyAlignment="1" applyProtection="1">
      <alignment horizontal="center" wrapText="1"/>
    </xf>
    <xf numFmtId="0" fontId="0" fillId="0" borderId="1" xfId="0" applyBorder="1" applyAlignment="1" applyProtection="1">
      <alignment horizontal="center" wrapText="1"/>
    </xf>
    <xf numFmtId="0" fontId="3" fillId="0" borderId="2" xfId="0" applyFont="1" applyBorder="1" applyAlignment="1" applyProtection="1">
      <alignment horizontal="center" wrapText="1"/>
    </xf>
    <xf numFmtId="0" fontId="4" fillId="0" borderId="6" xfId="0" applyFont="1" applyBorder="1" applyAlignment="1" applyProtection="1">
      <alignment horizontal="center" wrapText="1"/>
    </xf>
    <xf numFmtId="0" fontId="4" fillId="0" borderId="7" xfId="0" applyFont="1" applyBorder="1" applyAlignment="1" applyProtection="1">
      <alignment horizontal="center" wrapText="1"/>
    </xf>
    <xf numFmtId="0" fontId="4" fillId="0" borderId="1" xfId="0" applyFont="1" applyBorder="1" applyAlignment="1" applyProtection="1">
      <alignment horizontal="center" wrapText="1"/>
    </xf>
    <xf numFmtId="0" fontId="5" fillId="0" borderId="0" xfId="0" applyFont="1" applyBorder="1" applyAlignment="1" applyProtection="1">
      <alignment horizontal="center" wrapText="1"/>
    </xf>
    <xf numFmtId="0" fontId="6" fillId="0" borderId="3" xfId="0" applyFont="1" applyBorder="1" applyAlignment="1" applyProtection="1">
      <alignment horizontal="center" wrapText="1"/>
    </xf>
    <xf numFmtId="0" fontId="1" fillId="0" borderId="6" xfId="0" applyFont="1" applyBorder="1" applyAlignment="1" applyProtection="1">
      <alignment horizontal="center" wrapText="1"/>
    </xf>
    <xf numFmtId="0" fontId="1" fillId="0" borderId="7" xfId="0" applyFont="1" applyBorder="1" applyAlignment="1" applyProtection="1">
      <alignment horizontal="center" wrapText="1"/>
    </xf>
    <xf numFmtId="0" fontId="20" fillId="9" borderId="4"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99391</xdr:colOff>
      <xdr:row>1</xdr:row>
      <xdr:rowOff>223631</xdr:rowOff>
    </xdr:from>
    <xdr:to>
      <xdr:col>2</xdr:col>
      <xdr:colOff>292757</xdr:colOff>
      <xdr:row>1</xdr:row>
      <xdr:rowOff>1167847</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l="1219" t="17835" r="2475" b="11940"/>
        <a:stretch/>
      </xdr:blipFill>
      <xdr:spPr>
        <a:xfrm>
          <a:off x="3884543" y="720588"/>
          <a:ext cx="3146530" cy="9442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M22"/>
  <sheetViews>
    <sheetView tabSelected="1" view="pageBreakPreview" zoomScaleSheetLayoutView="100" workbookViewId="0">
      <selection activeCell="C4" sqref="C4"/>
    </sheetView>
  </sheetViews>
  <sheetFormatPr defaultRowHeight="15"/>
  <cols>
    <col min="1" max="1" width="56.7109375" style="65" customWidth="1"/>
    <col min="2" max="2" width="44.28515625" style="66" customWidth="1"/>
    <col min="3" max="3" width="12.140625" style="66" customWidth="1"/>
    <col min="4" max="4" width="2" style="39" hidden="1" customWidth="1"/>
    <col min="5" max="6" width="21.140625" style="39" hidden="1" customWidth="1"/>
    <col min="7" max="7" width="5.42578125" style="39" hidden="1" customWidth="1"/>
    <col min="8" max="8" width="36.42578125" style="39" hidden="1" customWidth="1"/>
    <col min="9" max="9" width="40.140625" style="39" hidden="1" customWidth="1"/>
    <col min="10" max="10" width="10.140625" style="39" hidden="1" customWidth="1"/>
    <col min="11" max="11" width="10.5703125" style="39" hidden="1" customWidth="1"/>
    <col min="12" max="12" width="9.140625" style="39"/>
    <col min="13" max="13" width="0" style="39" hidden="1" customWidth="1"/>
    <col min="14" max="16384" width="9.140625" style="39"/>
  </cols>
  <sheetData>
    <row r="1" spans="1:13" ht="39">
      <c r="A1" s="101" t="s">
        <v>74</v>
      </c>
      <c r="B1" s="102"/>
      <c r="C1" s="103"/>
    </row>
    <row r="2" spans="1:13" ht="93.75" customHeight="1">
      <c r="A2" s="109" t="s">
        <v>73</v>
      </c>
      <c r="B2" s="106"/>
      <c r="C2" s="107"/>
    </row>
    <row r="3" spans="1:13" ht="17.25" customHeight="1" thickBot="1">
      <c r="A3" s="109"/>
      <c r="B3" s="108"/>
      <c r="C3" s="107"/>
    </row>
    <row r="4" spans="1:13" s="67" customFormat="1" ht="36" customHeight="1" thickTop="1" thickBot="1">
      <c r="A4" s="104" t="s">
        <v>75</v>
      </c>
      <c r="B4" s="87" t="s">
        <v>13</v>
      </c>
      <c r="C4" s="90"/>
      <c r="E4" s="68">
        <f>'Data Entry'!D1</f>
        <v>0</v>
      </c>
      <c r="F4" s="68"/>
      <c r="G4" s="110">
        <f>'Data Entry'!G1</f>
        <v>0</v>
      </c>
      <c r="H4" s="110"/>
      <c r="I4" s="110"/>
      <c r="J4" s="110"/>
      <c r="K4" s="110"/>
    </row>
    <row r="5" spans="1:13" s="67" customFormat="1" ht="31.5" customHeight="1" thickTop="1" thickBot="1">
      <c r="A5" s="104"/>
      <c r="B5" s="87" t="s">
        <v>35</v>
      </c>
      <c r="C5" s="90"/>
      <c r="E5" s="69"/>
      <c r="F5" s="69"/>
      <c r="G5" s="70" t="s">
        <v>8</v>
      </c>
      <c r="H5" s="70" t="s">
        <v>42</v>
      </c>
      <c r="I5" s="70" t="s">
        <v>44</v>
      </c>
      <c r="J5" s="70" t="s">
        <v>46</v>
      </c>
      <c r="K5" s="70" t="s">
        <v>47</v>
      </c>
    </row>
    <row r="6" spans="1:13" s="67" customFormat="1" ht="24" customHeight="1" thickTop="1" thickBot="1">
      <c r="A6" s="104"/>
      <c r="B6" s="87" t="s">
        <v>12</v>
      </c>
      <c r="C6" s="90">
        <v>1</v>
      </c>
      <c r="E6" s="71" t="str">
        <f>IF($C$11=1,IF($C$7=2,'Data Entry'!D4:D5,""),IF($C$11=2,'Data Entry'!D8,IF($C$11=3,'Data Entry'!D10,"")))</f>
        <v/>
      </c>
      <c r="F6" s="71" t="str">
        <f>IF($C$11=1,IF($C$7=2,'Data Entry'!E4:E5,""),IF($C$11=2,'Data Entry'!E8,IF($C$11=3,'Data Entry'!E10,"")))</f>
        <v/>
      </c>
      <c r="G6" s="72" t="e">
        <f>IF($C$8&lt;6,SUM(F6*1.8),IF($C$8&lt;10,SUM(F6*1.6),IF($C$8&lt;12,SUM(F6*1.4),IF($C$8&lt;18,SUM(F6*1.2),IF($C$8&gt;17.99,SUM(F6*1))))))</f>
        <v>#VALUE!</v>
      </c>
      <c r="H6" s="71" t="str">
        <f>IF($C$11=1,IF($C$7=2,'Data Entry'!F4:F5,""),IF($C$11=2,'Data Entry'!F8,IF($C$11=3,'Data Entry'!F10,"")))</f>
        <v/>
      </c>
      <c r="I6" s="71" t="str">
        <f>IF($C$11=1,IF($C$7=2,'Data Entry'!G4:G5,""),IF($C$11=2,'Data Entry'!G8,IF($C$11=3,'Data Entry'!G10,"")))</f>
        <v/>
      </c>
      <c r="J6" s="72" t="e">
        <f>IF($C$8&lt;6,SUM(M6*1.8),IF($C$8&lt;10,SUM(M6*1.6),IF($C$8&lt;12,SUM(M6*1.4),IF($C$8&lt;18,SUM(M6*1.2),IF($C$8&gt;17.99,SUM(M6*1))))))</f>
        <v>#VALUE!</v>
      </c>
      <c r="K6" s="72" t="str">
        <f>IF($C$11=1,IF($C$7=2,'Data Entry'!I4:I5,""),IF($C$11=2,'Data Entry'!I8,IF($C$11=3,'Data Entry'!I10,"")))</f>
        <v/>
      </c>
      <c r="M6" s="73" t="str">
        <f>IF($C$11=1,IF($C$7=2,'Data Entry'!H4:H5,""),IF($C$11=2,'Data Entry'!H8,IF($C$11=3,'Data Entry'!H10,"")))</f>
        <v/>
      </c>
    </row>
    <row r="7" spans="1:13" s="67" customFormat="1" ht="24" customHeight="1" thickTop="1" thickBot="1">
      <c r="A7" s="104"/>
      <c r="B7" s="87" t="s">
        <v>70</v>
      </c>
      <c r="C7" s="91">
        <v>1</v>
      </c>
      <c r="E7" s="74" t="e">
        <f>IF($C$11=1,IF($C$7=1,IF(#REF!=1,'Data Entry'!D4,IF(#REF!=2,'Data Entry'!D6,IF(#REF!=3,'Data Entry'!D6,""))),""),"")</f>
        <v>#REF!</v>
      </c>
      <c r="F7" s="74" t="e">
        <f>IF($C$11=1,IF($C$7=1,IF(#REF!=1,'Data Entry'!E4,IF(#REF!=2,'Data Entry'!E6,IF(#REF!=3,'Data Entry'!E6,""))),""),"")</f>
        <v>#REF!</v>
      </c>
      <c r="G7" s="72" t="e">
        <f>IF($C$11=1,IF($C$8&lt;6,SUM(F7*1.8),IF($C$8&lt;10,SUM(F7*1.6),IF($C$8&lt;12,SUM(F7*1.4),IF($C$8&lt;18,SUM(F7*1.2),IF($C$8&gt;17.99,SUM(F7*1)))))),"")</f>
        <v>#REF!</v>
      </c>
      <c r="H7" s="74" t="e">
        <f>IF($C$11=1,IF($C$7=1,IF(#REF!=1,'Data Entry'!F4,IF(#REF!=2,'Data Entry'!F6,IF(#REF!=3,'Data Entry'!F6,""))),""),"")</f>
        <v>#REF!</v>
      </c>
      <c r="I7" s="74" t="e">
        <f>IF($C$11=1,IF($C$7=1,IF(#REF!=1,'Data Entry'!G4,IF(#REF!=2,'Data Entry'!G6,IF(#REF!=3,'Data Entry'!G6,""))),""),"")</f>
        <v>#REF!</v>
      </c>
      <c r="J7" s="75" t="e">
        <f>IF($C$11=1,IF($C$8&lt;6,SUM(M7*1.8),IF($C$8&lt;10,SUM(M7*1.6),IF($C$8&lt;12,SUM(M7*1.4),IF($C$8&lt;18,SUM(M7*1.2),IF($C$8&gt;17.99,SUM(M7*1)))))),"")</f>
        <v>#REF!</v>
      </c>
      <c r="K7" s="75" t="e">
        <f>IF($C$11=1,IF($C$7=1,IF(#REF!=1,'Data Entry'!I4,IF(#REF!=2,'Data Entry'!I6,IF(#REF!=3,'Data Entry'!I6,""))),""),"")</f>
        <v>#REF!</v>
      </c>
      <c r="M7" s="76" t="e">
        <f>IF($C$11=1,IF($C$7=1,IF(#REF!=1,'Data Entry'!H4,IF(#REF!=2,'Data Entry'!H6,IF(#REF!=3,'Data Entry'!H6,""))),""),"")</f>
        <v>#REF!</v>
      </c>
    </row>
    <row r="8" spans="1:13" s="67" customFormat="1" ht="24" customHeight="1" thickTop="1" thickBot="1">
      <c r="A8" s="104"/>
      <c r="B8" s="87" t="s">
        <v>60</v>
      </c>
      <c r="C8" s="91">
        <v>1</v>
      </c>
      <c r="E8" s="77" t="s">
        <v>45</v>
      </c>
      <c r="F8" s="78"/>
      <c r="G8" s="111" t="s">
        <v>39</v>
      </c>
      <c r="H8" s="112"/>
      <c r="I8" s="113" t="s">
        <v>40</v>
      </c>
      <c r="J8" s="114"/>
      <c r="K8" s="115"/>
    </row>
    <row r="9" spans="1:13" s="67" customFormat="1" ht="24" customHeight="1" thickTop="1" thickBot="1">
      <c r="A9" s="104"/>
      <c r="B9" s="87" t="s">
        <v>28</v>
      </c>
      <c r="C9" s="90">
        <v>1</v>
      </c>
      <c r="E9" s="117" t="s">
        <v>52</v>
      </c>
      <c r="F9" s="79"/>
      <c r="G9" s="98" t="s">
        <v>57</v>
      </c>
      <c r="H9" s="100"/>
      <c r="I9" s="98"/>
      <c r="J9" s="99"/>
      <c r="K9" s="100"/>
    </row>
    <row r="10" spans="1:13" s="67" customFormat="1" ht="24" customHeight="1" thickTop="1" thickBot="1">
      <c r="A10" s="104"/>
      <c r="B10" s="88" t="s">
        <v>29</v>
      </c>
      <c r="C10" s="90">
        <v>1</v>
      </c>
      <c r="E10" s="118"/>
      <c r="F10" s="80"/>
      <c r="G10" s="98" t="s">
        <v>58</v>
      </c>
      <c r="H10" s="100"/>
      <c r="I10" s="98" t="s">
        <v>57</v>
      </c>
      <c r="J10" s="99"/>
      <c r="K10" s="100"/>
    </row>
    <row r="11" spans="1:13" s="67" customFormat="1" ht="24" customHeight="1" thickTop="1" thickBot="1">
      <c r="A11" s="104"/>
      <c r="B11" s="87" t="s">
        <v>0</v>
      </c>
      <c r="C11" s="91">
        <v>1</v>
      </c>
      <c r="E11" s="118"/>
      <c r="F11" s="80"/>
      <c r="G11" s="98" t="s">
        <v>59</v>
      </c>
      <c r="H11" s="100"/>
      <c r="I11" s="98" t="s">
        <v>59</v>
      </c>
      <c r="J11" s="99"/>
      <c r="K11" s="100"/>
    </row>
    <row r="12" spans="1:13" s="67" customFormat="1" ht="24" customHeight="1" thickTop="1" thickBot="1">
      <c r="A12" s="104"/>
      <c r="B12" s="87" t="s">
        <v>38</v>
      </c>
      <c r="C12" s="90">
        <v>1</v>
      </c>
      <c r="E12" s="119"/>
      <c r="F12" s="81"/>
      <c r="G12" s="98" t="s">
        <v>53</v>
      </c>
      <c r="H12" s="100"/>
      <c r="I12" s="98" t="s">
        <v>54</v>
      </c>
      <c r="J12" s="99"/>
      <c r="K12" s="100"/>
    </row>
    <row r="13" spans="1:13" s="67" customFormat="1" ht="24" customHeight="1" thickTop="1" thickBot="1">
      <c r="A13" s="104"/>
      <c r="B13" s="87" t="s">
        <v>37</v>
      </c>
      <c r="C13" s="90">
        <v>1</v>
      </c>
      <c r="E13" s="81" t="s">
        <v>55</v>
      </c>
      <c r="F13" s="82"/>
      <c r="G13" s="96" t="str">
        <f>'Data Entry'!G13</f>
        <v/>
      </c>
      <c r="H13" s="96"/>
      <c r="I13" s="96"/>
      <c r="J13" s="96"/>
      <c r="K13" s="97"/>
    </row>
    <row r="14" spans="1:13" s="67" customFormat="1" ht="24" customHeight="1" thickTop="1" thickBot="1">
      <c r="A14" s="105"/>
      <c r="B14" s="89" t="s">
        <v>36</v>
      </c>
      <c r="C14" s="90">
        <v>1</v>
      </c>
      <c r="E14" s="74"/>
      <c r="F14" s="81"/>
      <c r="G14" s="116"/>
      <c r="H14" s="96"/>
      <c r="I14" s="96"/>
      <c r="J14" s="96"/>
      <c r="K14" s="97"/>
    </row>
    <row r="15" spans="1:13" hidden="1">
      <c r="B15" s="86"/>
    </row>
    <row r="16" spans="1:13" hidden="1">
      <c r="B16" s="86"/>
    </row>
    <row r="17" spans="2:2" hidden="1">
      <c r="B17" s="86"/>
    </row>
    <row r="18" spans="2:2" hidden="1">
      <c r="B18" s="86"/>
    </row>
    <row r="19" spans="2:2" hidden="1">
      <c r="B19" s="86">
        <v>1</v>
      </c>
    </row>
    <row r="20" spans="2:2" ht="27.75" hidden="1" customHeight="1" thickTop="1">
      <c r="B20" s="86">
        <v>2</v>
      </c>
    </row>
    <row r="21" spans="2:2" ht="10.5" hidden="1" customHeight="1" thickTop="1">
      <c r="B21" s="86">
        <v>3</v>
      </c>
    </row>
    <row r="22" spans="2:2" ht="15.75" thickTop="1">
      <c r="B22" s="86"/>
    </row>
  </sheetData>
  <sheetProtection password="E63C" sheet="1" objects="1" scenarios="1" selectLockedCells="1"/>
  <mergeCells count="18">
    <mergeCell ref="G14:K14"/>
    <mergeCell ref="E9:E12"/>
    <mergeCell ref="G13:K13"/>
    <mergeCell ref="I11:K11"/>
    <mergeCell ref="G9:H9"/>
    <mergeCell ref="G12:H12"/>
    <mergeCell ref="A1:C1"/>
    <mergeCell ref="A4:A14"/>
    <mergeCell ref="B2:C3"/>
    <mergeCell ref="A2:A3"/>
    <mergeCell ref="G4:K4"/>
    <mergeCell ref="G10:H10"/>
    <mergeCell ref="I9:K9"/>
    <mergeCell ref="I10:K10"/>
    <mergeCell ref="G8:H8"/>
    <mergeCell ref="I8:K8"/>
    <mergeCell ref="I12:K12"/>
    <mergeCell ref="G11:H11"/>
  </mergeCells>
  <dataValidations xWindow="467" yWindow="496" count="11">
    <dataValidation type="decimal" allowBlank="1" showDropDown="1" promptTitle="Therapy type" prompt="1 = MDI&#10;2 = Pump" sqref="C8">
      <formula1>0.1</formula1>
      <formula2>99.9</formula2>
    </dataValidation>
    <dataValidation type="list" showInputMessage="1" showErrorMessage="1" promptTitle="Eating within 60 minutes after? " prompt="1 = Yes&#10;2 = No" sqref="C14">
      <formula1>$B$19:$B$20</formula1>
    </dataValidation>
    <dataValidation type="list" showInputMessage="1" showErrorMessage="1" promptTitle="Intensityof activity" prompt="1 = Low: 3-5 out of 10&#10;&#10;2 = Med: 5-7 out of 10&#10;&#10;3 = High: &gt;7 out of 10&#10;" sqref="C13">
      <formula1>$B$19:$B$21</formula1>
    </dataValidation>
    <dataValidation type="whole" showInputMessage="1" showErrorMessage="1" promptTitle="Time in minutes of activity" prompt="Enter the duration of activity, between 1 and 300 minutes" sqref="C12">
      <formula1>1</formula1>
      <formula2>300</formula2>
    </dataValidation>
    <dataValidation type="list" showInputMessage="1" showErrorMessage="1" promptTitle="Minutes since last bolus" prompt="1 = 0 - 90 minutes&#10;High insulin action&#10;&#10;2 = 90 - 180 minutes&#10;Medium insulin action&#10;&#10;3 = more than 180 minutes&#10;Low insulin action" sqref="C11">
      <formula1>$B$19:$B$21</formula1>
    </dataValidation>
    <dataValidation type="decimal" showInputMessage="1" showErrorMessage="1" promptTitle="Weight (kg)" prompt="Enter weight in kilograms" sqref="C6">
      <formula1>1</formula1>
      <formula2>200</formula2>
    </dataValidation>
    <dataValidation type="textLength" allowBlank="1" showInputMessage="1" showErrorMessage="1" promptTitle="Name" prompt="Enter name of the exerciser" sqref="C4">
      <formula1>0</formula1>
      <formula2>100</formula2>
    </dataValidation>
    <dataValidation type="list" showInputMessage="1" showErrorMessage="1" promptTitle="Therapy type" prompt="1 = MDI&#10;2 = Pump" sqref="C9">
      <formula1>$B$19:$B$20</formula1>
    </dataValidation>
    <dataValidation type="list" showInputMessage="1" showErrorMessage="1" promptTitle="Extra carbs vs insulin reduction" prompt="&#10;1 = Preference for extra carbohydrate &amp; when activity is unplanned&#10;&#10;2 = Preference for insulin reduction, less carbohydrate but requires more planning" sqref="C7">
      <formula1>$B$19:$B$20</formula1>
    </dataValidation>
    <dataValidation type="textLength" allowBlank="1" showInputMessage="1" showErrorMessage="1" promptTitle="Activity name" prompt="Enter the name of your activity" sqref="C5">
      <formula1>0</formula1>
      <formula2>100</formula2>
    </dataValidation>
    <dataValidation type="list" showInputMessage="1" showErrorMessage="1" promptTitle="Type of Activity" prompt="1 = Anaerobic (short &amp; sharp) e.g. weights, 800 meters&#10;&#10;2 = Mixed (Intermittent/stop start) e.g. ball sports, circuit classes&#10;&#10;3 = Aerobic (continous/endurance) e.g. running, cycling" sqref="C10">
      <formula1>$B$19:$B$21</formula1>
    </dataValidation>
  </dataValidation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1:J28"/>
  <sheetViews>
    <sheetView view="pageBreakPreview" topLeftCell="A3" zoomScaleNormal="60" zoomScaleSheetLayoutView="100" workbookViewId="0">
      <selection activeCell="F33" sqref="F33"/>
    </sheetView>
  </sheetViews>
  <sheetFormatPr defaultRowHeight="15"/>
  <cols>
    <col min="1" max="1" width="21" style="3" customWidth="1"/>
    <col min="2" max="2" width="18.5703125" style="3" customWidth="1"/>
    <col min="3" max="3" width="5.7109375" style="3" customWidth="1"/>
    <col min="4" max="4" width="23.85546875" style="3" customWidth="1"/>
    <col min="5" max="5" width="16" style="3" customWidth="1"/>
    <col min="6" max="6" width="7.85546875" style="3" customWidth="1"/>
    <col min="7" max="7" width="29.28515625" style="3" customWidth="1"/>
    <col min="8" max="8" width="61.85546875" style="3" customWidth="1"/>
    <col min="9" max="9" width="28.85546875" style="3" customWidth="1"/>
    <col min="10" max="10" width="28.28515625" style="3" customWidth="1"/>
    <col min="11" max="16384" width="9.140625" style="3"/>
  </cols>
  <sheetData>
    <row r="1" spans="1:10" ht="27.75" customHeight="1">
      <c r="A1" s="1" t="s">
        <v>12</v>
      </c>
      <c r="B1" s="9">
        <f>'Data Entry MDI'!B1</f>
        <v>1</v>
      </c>
      <c r="D1" s="159" t="s">
        <v>21</v>
      </c>
      <c r="E1" s="159"/>
      <c r="F1" s="4"/>
      <c r="G1" s="4">
        <f>B3</f>
        <v>0</v>
      </c>
      <c r="H1" s="159">
        <f>B2</f>
        <v>0</v>
      </c>
      <c r="I1" s="159"/>
      <c r="J1" s="159"/>
    </row>
    <row r="2" spans="1:10" ht="44.25" customHeight="1">
      <c r="A2" s="1" t="s">
        <v>16</v>
      </c>
      <c r="B2" s="9"/>
      <c r="D2" s="6" t="s">
        <v>6</v>
      </c>
      <c r="E2" s="6" t="s">
        <v>17</v>
      </c>
      <c r="F2" s="162" t="s">
        <v>18</v>
      </c>
      <c r="G2" s="162"/>
      <c r="H2" s="162" t="s">
        <v>19</v>
      </c>
      <c r="I2" s="162"/>
      <c r="J2" s="162"/>
    </row>
    <row r="3" spans="1:10" ht="66.75" customHeight="1">
      <c r="A3" s="1" t="s">
        <v>13</v>
      </c>
      <c r="B3" s="9"/>
      <c r="D3" s="7" t="s">
        <v>11</v>
      </c>
      <c r="E3" s="7" t="s">
        <v>10</v>
      </c>
      <c r="F3" s="12" t="s">
        <v>8</v>
      </c>
      <c r="G3" s="13" t="s">
        <v>15</v>
      </c>
      <c r="H3" s="7" t="s">
        <v>9</v>
      </c>
      <c r="I3" s="7" t="s">
        <v>7</v>
      </c>
      <c r="J3" s="7" t="s">
        <v>25</v>
      </c>
    </row>
    <row r="4" spans="1:10" ht="51" customHeight="1">
      <c r="A4" s="29"/>
      <c r="B4" s="30"/>
      <c r="D4" s="1"/>
      <c r="E4" s="2"/>
      <c r="F4" s="14"/>
      <c r="G4" s="15"/>
      <c r="H4" s="2"/>
      <c r="I4" s="1"/>
      <c r="J4" s="1"/>
    </row>
    <row r="5" spans="1:10" ht="48.75" customHeight="1">
      <c r="A5" s="33" t="s">
        <v>43</v>
      </c>
      <c r="B5" s="26">
        <f>'DMF Data Entry'!C7</f>
        <v>1</v>
      </c>
      <c r="D5" s="1" t="s">
        <v>27</v>
      </c>
      <c r="E5" s="2" t="str">
        <f>IF($B$8&gt;1,"",IF($B$8&lt;1,"",IF($B$9&lt;30.1,IF($B$10=1,"Deduct 35% off the bolus insulin before activity",IF($B$10=2,"Deduct 25% off the bolus insulin before activity",IF($B$10=3,"Deduct 15% off the bolus insulin before activity"))),IF($B$9&gt;30,IF($B$10=1,"Deduct 45% off the bolus insulin before activity",IF($B$10=2,"Deduct 35% off the bolus insulin before activity",IF($B$10=3,"Deduct 25% off the bolus insulin before activity")))))))</f>
        <v>Deduct 35% off the bolus insulin before activity</v>
      </c>
      <c r="F5" s="14" t="str">
        <f>IF($B$8&gt;1,"",IF($B$8&lt;1,"",IF($B$9&lt;61,"",IF($B$10=1,SUM(B1*0.3/60*($B$9-60)),IF($B$10=2,SUM(B1*0.2/60*($B$9-60)),IF($B$10=3,SUM(B1*0.1/60*($B$9-60))))))))</f>
        <v/>
      </c>
      <c r="G5" s="15" t="str">
        <f>IF($B$8&gt;1,"",IF($B$8&lt;1,"",IF($B$9&lt;61,"","grams carbohydrate starting AFTER 60 minutes, spread equally AFTER 60 mins")))</f>
        <v/>
      </c>
      <c r="H5" s="2" t="str">
        <f>IF($B$8&lt;1,"",IF($B$8&gt;1,"",IF($B$9&lt;30,"",IF(B11&gt;1,IF($B$10=1,IF($B$5=1," As you are not eating for 90 minutes try 10g carbohydrate without bolus insulin","As you do not want an extra 10g carbohydrate without insulin, you would benefit from a 10 second all out sprint to prevent hypoglycaemia"),IF($B$10=2,IF($B$5=1," As you are not eating for 90 minutes try 20g carbohydrate without bolus insulin ","As you do not want an extra 20g carbohydrate without insulin, you would benefit from a 10 second all out sprint to prevent hypoglycaemia"),IF($B$10=3,IF($B$5=1," As you are not eating for 90 minutes try 30g carbohydrate without bolus insulin ","As you do not want an extra 30g carbohydrate without insulin, you would benefit from a 10 second all out sprint to prevent hypoglycaemia")))),IF($B$10=1,"For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5" s="2" t="str">
        <f>IF($B$8&gt;1,"",IF($B$8&lt;1,"",IF($B$9&lt;30,"",IF(B11&lt;1,"",IF(B11&gt;1,"",IF($B$8=1,IF($B$10=1,SUM(B1*0.5),IF($B$10=2,(B1*1),IF($B$10=3,(B1*1.5))))))))))</f>
        <v/>
      </c>
      <c r="J5" s="2" t="str">
        <f>IF($B$8&gt;1,"",IF($B$8&lt;1,"",IF($B$9&lt;30,"",IF(B11&lt;1,"",IF(B11&gt;1,"",IF($B$8=1,IF($B$10=1,SUM(B1*0.2),IF($B$10=2,(B1*0.3),IF($B$10=3,(B1*0.4))))))))))</f>
        <v/>
      </c>
    </row>
    <row r="6" spans="1:10" ht="55.5" customHeight="1">
      <c r="A6" s="20"/>
      <c r="B6" s="20"/>
      <c r="D6" s="1" t="s">
        <v>24</v>
      </c>
      <c r="E6" s="2" t="str">
        <f>IF($B$8&gt;1,"",IF($B$8&lt;1,"",IF($B$9&lt;1,"",IF($B$8=1,"Full insulin"))))</f>
        <v>Full insulin</v>
      </c>
      <c r="F6" s="14">
        <f>IF($B$8&gt;1,"",IF($B$8&lt;1,"",IF($B$9&lt;1,"",IF($B$8=1,IF($B$10=1,SUM(B1*0.75/60*$B$9/2),IF($B$10=2,SUM(B1*0.5/60*$B$9/2),IF($B$10=3,SUM(B1*0.3/60*$B$9/2))))))))</f>
        <v>6.2500000000000003E-3</v>
      </c>
      <c r="G6" s="15" t="str">
        <f>IF($B$8&gt;1,"",IF($B$8&lt;1,"",IF($B$9&lt;1,"",IF($B$8=1,IF($B$9&gt;0,"grams carbohydrate 10 minutes before start &amp; the same grams half way through or spread equally over the duration")))))</f>
        <v>grams carbohydrate 10 minutes before start &amp; the same grams half way through or spread equally over the duration</v>
      </c>
      <c r="H6" s="2" t="str">
        <f>IF($B$8&lt;1,"",IF($B$8&gt;1,"",IF($B$9&lt;30,"",IF(B11&gt;1,IF($B$10=1,IF($B$5=1," As you are not eating for 90 minutes try 10g carbohydrate without bolus insulin","As you do not want an extra 10g carbohydrate without insulin, you would benefit from a 10 second all out sprint to prevent hypoglycaemia"),IF($B$10=2,IF($B$5=1," As you are not eating for 90 minutes try 20g carbohydrate without bolus insulin ","As you do not want an extra 20g carbohydrate without insulin, you would benefit from a 10 second all out sprint to prevent hypoglycaemia"),IF($B$10=3,IF($B$5=1," As you are not eating for 90 minutes try 30g carbohydrate without bolus insulin ","As you do not want an extra 30g carbohydrate without insulin, you would benefit from a 10 second all out sprint to prevent hypoglycaemia")))),IF($B$10=1,"For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6" s="2" t="str">
        <f>IF($B$8&gt;1,"",IF($B$8&lt;1,"",IF($B$9&lt;30,"",IF(B11&lt;1,"",IF(B11&gt;1,"",IF($B$8=1,IF($B$10=1,SUM(B1*0.5),IF($B$10=2,(B1*1),IF($B$10=3,(B1*1.5))))))))))</f>
        <v/>
      </c>
      <c r="J6" s="2" t="str">
        <f>IF($B$8&gt;1,"",IF($B$8&lt;1,"",IF($B$9&lt;30,"",IF(B11&lt;1,"",IF(B11&gt;1,"",IF($B$8=1,IF($B$10=1,SUM(B1*0.2),IF($B$10=2,(B1*0.3),IF($B$10=3,(B1*0.4))))))))))</f>
        <v/>
      </c>
    </row>
    <row r="7" spans="1:10" ht="54.75" customHeight="1">
      <c r="A7" s="21"/>
      <c r="B7" s="21"/>
      <c r="D7" s="1" t="s">
        <v>4</v>
      </c>
      <c r="E7" s="2" t="str">
        <f>IF($B$8&lt;2,"",IF($B$8=3,"",IF($B$8=2,"Full insulin")))</f>
        <v/>
      </c>
      <c r="F7" s="14" t="str">
        <f>IF($B$8&lt;2,"",IF($B$8&gt;2,"",IF($B$10=1,SUM(B1*0.4/60*$B$9/2),IF($B$10=2,SUM(B1*0.3/60*$B$9/2),IF($B$10=3,SUM(B1*0.2/60*$B$9/2))))))</f>
        <v/>
      </c>
      <c r="G7" s="15" t="str">
        <f>IF($B$8&lt;2,"",IF($B$8=3,"",IF($B$8=2,IF($B$9&gt;0,"grams carbohydrate 10 minutes before start &amp; the same grams half way through or spread equally over the duration"))))</f>
        <v/>
      </c>
      <c r="H7" s="2" t="str">
        <f>IF($B$8&lt;2,"",IF($B$8&gt;2,"",IF($B$9&lt;30,"",IF(B11&gt;1,IF($B$10=1,IF($B$5=1," As you are not eating for 90 minutes try 10g carbohydrate without bolus insulin","As you do not want an extra 10g carbohydrate without insulin, you would benefit from a 10 second all out sprint to prevent hypoglycaemia"),IF($B$10=2,IF($B$5=1," As you are not eating for 90 minutes try 20g carbohydrate without bolus insulin ","As you do not want an extra 20g carbohydrate without insulin, you would benefit from a 10 second all out sprint to prevent hypoglycaemia"),IF($B$10=3,IF($B$5=1," As you are not eating for 90 minutes try 30g carbohydrate without bolus insulin ","As you do not want an extra 30g carbohydrate without insulin, you would benefit from a 10 second all out sprint to prevent hypoglycaemia")))),IF($B$10=1,"For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7" s="2" t="str">
        <f>IF($B$8&gt;2,"",IF($B$8&lt;2,"",IF($B$9&lt;30,"",IF(B11&lt;1,"",IF(B11&gt;1,"",IF($B$10=1,SUM(B1*0.5),IF($B$10=2,(B1*1),IF($B$10=3,(B1*1.5)))))))))</f>
        <v/>
      </c>
      <c r="J7" s="2" t="str">
        <f>IF($B$8&gt;2,"",IF($B$8&lt;2,"",IF($B$9&lt;30,"",IF(B11&lt;1,"",IF(B11&gt;1,"",IF($B$10=1,SUM(B1*0.2),IF($B$10=2,(B1*0.3),IF($B$10=3,(B1*0.4)))))))))</f>
        <v/>
      </c>
    </row>
    <row r="8" spans="1:10" ht="57" customHeight="1">
      <c r="A8" s="1" t="s">
        <v>0</v>
      </c>
      <c r="B8" s="9">
        <f>'Data Entry MDI'!B8</f>
        <v>1</v>
      </c>
      <c r="D8" s="1" t="s">
        <v>5</v>
      </c>
      <c r="E8" s="2" t="str">
        <f>IF($B$8&lt;3,"",IF($B$8=3,"Full insulin"))</f>
        <v/>
      </c>
      <c r="F8" s="14" t="str">
        <f>IF($B$8&lt;3,"",IF($B$8=3,IF($B$10=1,SUM(B1*0.3/60*$B$9/2),IF($B$10=2,SUM(B1*0.2/60*$B$9/2),IF($B$10=3,SUM(B1*0.1/60*$B$9/2))))))</f>
        <v/>
      </c>
      <c r="G8" s="15" t="str">
        <f>IF($B$8&lt;3,"",IF($B$8=3,IF($B$9&gt;0,"grams carbohydrate 10 minutes before start &amp; the same grams half way through or spread equally over the duration")))</f>
        <v/>
      </c>
      <c r="H8" s="2" t="str">
        <f>IF($B$8&lt;3,"",IF($B$8&gt;3,"",IF($B$9&lt;30,"",IF(B11&gt;1,IF($B$10=1,IF($B$5=1," As you are not eating for 90 minutes try 10g carbohydrate without bolus insulin ","As you do not want an extra 10g carbohydrate without insulin, you would benefit from a 10 second all out sprint to prevent hypoglycaemia"),IF($B$10=2,IF($B$5=1," As you are not eating for 90 minutes try 20g carbohydrate without bolus insulin ","As you do not want an extra 20g carbohydrate without insulin, you would benefit from a 10 second all out sprint to prevent hypoglycaemia"),IF($B$10=3,IF($B$5=1," As you are not eating for 90 minutes try 30g carbohydrate without bolus insulin ","As you do not want an extra 30g carbohydrate without insulin, you would benefit from a 10 second all out sprint to prevent hypoglycaemia")))),IF($B$10=1,"For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8" s="2" t="str">
        <f>IF($B$8&lt;3,"",IF($B$9&lt;30,"",IF(B11&lt;1,"",IF(B11&gt;1,"",IF($B$10=1,SUM(B1*0.5),IF($B$10=2,(B1*1),IF($B$10=3,(B1*1.5))))))))</f>
        <v/>
      </c>
      <c r="J8" s="2" t="str">
        <f>IF($B$8&lt;3,"",IF($B$9&lt;30,"",IF(B11&lt;1,"",IF(B11&gt;1,"",IF($B$10=1,SUM(B1*0.2),IF($B$10=2,(B1*0.3),IF($B$10=3,(B1*0.4))))))))</f>
        <v/>
      </c>
    </row>
    <row r="9" spans="1:10" ht="36.75" customHeight="1">
      <c r="A9" s="1" t="s">
        <v>1</v>
      </c>
      <c r="B9" s="9">
        <f>'Data Entry MDI'!B9</f>
        <v>1</v>
      </c>
      <c r="F9" s="8"/>
      <c r="H9" s="164" t="s">
        <v>20</v>
      </c>
      <c r="I9" s="164"/>
      <c r="J9" s="164"/>
    </row>
    <row r="10" spans="1:10" ht="30" customHeight="1">
      <c r="A10" s="1" t="s">
        <v>2</v>
      </c>
      <c r="B10" s="9">
        <f>'Data Entry MDI'!B10</f>
        <v>1</v>
      </c>
      <c r="F10" s="8"/>
      <c r="H10" s="163" t="str">
        <f>IF($B$9&lt;30,"",IF($B$10=1,"Try 10g of carbohydrate with 5g protein with no bolus insulin before bed OR reduce basal by 10% overnight",IF($B$10=2,"Try 20g of carbohydrate and 10g protein with no bolus insulin before bed OR reduce basal by 20% overnight",IF($B$10=3,"Try 30g of carbohydrate and 15g protein with no bolus insulin before bed OR reduce basal by 30% overnight"))))</f>
        <v/>
      </c>
      <c r="I10" s="163"/>
      <c r="J10" s="163"/>
    </row>
    <row r="11" spans="1:10" ht="30" customHeight="1">
      <c r="A11" s="1" t="s">
        <v>3</v>
      </c>
      <c r="B11" s="9">
        <f>'Data Entry MDI'!B11</f>
        <v>1</v>
      </c>
      <c r="F11" s="8"/>
      <c r="H11" s="163"/>
      <c r="I11" s="163"/>
      <c r="J11" s="163"/>
    </row>
    <row r="13" spans="1:10" hidden="1"/>
    <row r="14" spans="1:10" hidden="1"/>
    <row r="15" spans="1:10" hidden="1"/>
    <row r="16" spans="1:10" hidden="1"/>
    <row r="17" spans="1:1" hidden="1"/>
    <row r="18" spans="1:1" hidden="1"/>
    <row r="19" spans="1:1" hidden="1"/>
    <row r="20" spans="1:1" hidden="1">
      <c r="A20" s="3">
        <v>1</v>
      </c>
    </row>
    <row r="21" spans="1:1" hidden="1">
      <c r="A21" s="3">
        <v>2</v>
      </c>
    </row>
    <row r="22" spans="1:1" hidden="1">
      <c r="A22" s="3">
        <v>3</v>
      </c>
    </row>
    <row r="23" spans="1:1" hidden="1">
      <c r="A23" s="3">
        <v>4</v>
      </c>
    </row>
    <row r="24" spans="1:1" hidden="1">
      <c r="A24" s="3">
        <v>5</v>
      </c>
    </row>
    <row r="25" spans="1:1" hidden="1"/>
    <row r="26" spans="1:1" hidden="1"/>
    <row r="27" spans="1:1" hidden="1"/>
    <row r="28" spans="1:1" hidden="1"/>
  </sheetData>
  <mergeCells count="6">
    <mergeCell ref="H10:J11"/>
    <mergeCell ref="D1:E1"/>
    <mergeCell ref="H1:J1"/>
    <mergeCell ref="F2:G2"/>
    <mergeCell ref="H2:J2"/>
    <mergeCell ref="H9:J9"/>
  </mergeCells>
  <dataValidations count="5">
    <dataValidation type="textLength" allowBlank="1" showInputMessage="1" showErrorMessage="1" promptTitle="Name" prompt="Enter name of the exerciser" sqref="B3">
      <formula1>0</formula1>
      <formula2>100</formula2>
    </dataValidation>
    <dataValidation type="decimal" showInputMessage="1" showErrorMessage="1" promptTitle="Weight (kg)" prompt="Enter weight in kilograms" sqref="B1">
      <formula1>1</formula1>
      <formula2>200</formula2>
    </dataValidation>
    <dataValidation type="textLength" allowBlank="1" showInputMessage="1" showErrorMessage="1" promptTitle="Activity name" prompt="Enter the name of your activity" sqref="B2">
      <formula1>0</formula1>
      <formula2>100</formula2>
    </dataValidation>
    <dataValidation type="list" showInputMessage="1" showErrorMessage="1" promptTitle="Minutes since last bolus" prompt="1 = 0 - 90 minutes&#10;High insulin action&#10;&#10;2 = 90 - 180 minutes&#10;Medium insulin action&#10;&#10;3 = more than 180 minutes&#10;Low insulin action" sqref="B8:B11">
      <formula1>$A$20:$A$22</formula1>
    </dataValidation>
    <dataValidation showInputMessage="1" showErrorMessage="1" promptTitle="Extra carbs vs insulin reduction" prompt="&#10;1 = Preference for extra carbs &amp; when activity is unplanned&#10;&#10;2 = Preference for insulin reduction, less CHO but requires more planning" sqref="B5"/>
  </dataValidation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dimension ref="A1:J28"/>
  <sheetViews>
    <sheetView view="pageBreakPreview" zoomScaleNormal="60" zoomScaleSheetLayoutView="100" workbookViewId="0">
      <selection activeCell="F8" sqref="F8"/>
    </sheetView>
  </sheetViews>
  <sheetFormatPr defaultRowHeight="15"/>
  <cols>
    <col min="1" max="1" width="21" style="3" customWidth="1"/>
    <col min="2" max="2" width="18.5703125" style="3" customWidth="1"/>
    <col min="3" max="3" width="5.7109375" style="3" customWidth="1"/>
    <col min="4" max="4" width="23.85546875" style="3" customWidth="1"/>
    <col min="5" max="5" width="16" style="3" customWidth="1"/>
    <col min="6" max="6" width="7.85546875" style="3" customWidth="1"/>
    <col min="7" max="7" width="29.28515625" style="3" customWidth="1"/>
    <col min="8" max="8" width="61.85546875" style="3" customWidth="1"/>
    <col min="9" max="9" width="28.85546875" style="3" customWidth="1"/>
    <col min="10" max="10" width="28.28515625" style="3" customWidth="1"/>
    <col min="11" max="16384" width="9.140625" style="3"/>
  </cols>
  <sheetData>
    <row r="1" spans="1:10" ht="27.75" customHeight="1">
      <c r="A1" s="1" t="s">
        <v>12</v>
      </c>
      <c r="B1" s="9">
        <f>'Data Entry MDI'!B1</f>
        <v>1</v>
      </c>
      <c r="D1" s="159" t="s">
        <v>14</v>
      </c>
      <c r="E1" s="159"/>
      <c r="F1" s="4"/>
      <c r="G1" s="4">
        <f>B3</f>
        <v>0</v>
      </c>
      <c r="H1" s="159">
        <f>B2</f>
        <v>0</v>
      </c>
      <c r="I1" s="159"/>
      <c r="J1" s="159"/>
    </row>
    <row r="2" spans="1:10" ht="44.25" customHeight="1">
      <c r="A2" s="1" t="s">
        <v>16</v>
      </c>
      <c r="B2" s="9"/>
      <c r="D2" s="5" t="s">
        <v>6</v>
      </c>
      <c r="E2" s="6" t="s">
        <v>17</v>
      </c>
      <c r="F2" s="162" t="s">
        <v>18</v>
      </c>
      <c r="G2" s="162"/>
      <c r="H2" s="162" t="s">
        <v>19</v>
      </c>
      <c r="I2" s="162"/>
      <c r="J2" s="162"/>
    </row>
    <row r="3" spans="1:10" ht="66.75" customHeight="1">
      <c r="A3" s="1" t="s">
        <v>13</v>
      </c>
      <c r="B3" s="9"/>
      <c r="D3" s="7" t="s">
        <v>11</v>
      </c>
      <c r="E3" s="7" t="s">
        <v>10</v>
      </c>
      <c r="F3" s="12" t="s">
        <v>8</v>
      </c>
      <c r="G3" s="13" t="s">
        <v>15</v>
      </c>
      <c r="H3" s="7" t="s">
        <v>9</v>
      </c>
      <c r="I3" s="7" t="s">
        <v>7</v>
      </c>
      <c r="J3" s="7" t="s">
        <v>25</v>
      </c>
    </row>
    <row r="4" spans="1:10" ht="51" customHeight="1">
      <c r="A4" s="29"/>
      <c r="B4" s="30"/>
      <c r="D4" s="1"/>
      <c r="E4" s="2"/>
      <c r="F4" s="14"/>
      <c r="G4" s="15"/>
      <c r="H4" s="2"/>
      <c r="I4" s="1"/>
      <c r="J4" s="1"/>
    </row>
    <row r="5" spans="1:10" ht="48.75" customHeight="1">
      <c r="A5" s="33" t="s">
        <v>43</v>
      </c>
      <c r="B5" s="26">
        <f>'DMF Data Entry'!C7</f>
        <v>1</v>
      </c>
      <c r="D5" s="1" t="s">
        <v>27</v>
      </c>
      <c r="E5" s="2" t="str">
        <f>IF($B$8&gt;1,"",IF($B$8&lt;1,"",IF($B$9&lt;30.1,IF($B$10=1,"Deduct 25% off the bolus insulin before activity",IF($B$10=2,"Deduct 35% off the bolus insulin before activity",IF($B$10=3,"Deduct 50% off the bolus insulin before activity"))),IF($B$9&gt;30,IF($B$10=1,"Deduct 50% off the bolus insulin before activity",IF($B$10=2,"Deduct 65% off the bolus insulin before activity",IF($B$10=3,"Deduct 75% off the bolus insulin before activity")))))))</f>
        <v>Deduct 25% off the bolus insulin before activity</v>
      </c>
      <c r="F5" s="14" t="str">
        <f>IF($B$8&gt;1,"",IF($B$8&lt;1,"",IF($B$9&lt;61,"",IF($B$10=1,SUM(B1*0.2/60*($B$9-60)),IF($B$10=2,SUM(B1*0.4/60*($B$9-60)),IF($B$10=3,SUM(B1*0.6/60*($B$9-60))))))))</f>
        <v/>
      </c>
      <c r="G5" s="15" t="str">
        <f>IF($B$8&gt;1,"",IF($B$8&lt;1,"",IF($B$9&lt;61,"","grams carbohydrate starting AFTER 60 minutes, spread equally AFTER 60 mins")))</f>
        <v/>
      </c>
      <c r="H5" s="34" t="str">
        <f>IF($B$8&lt;1,"",IF($B$8&gt;1,"",IF($B$9&lt;30,"",IF(B11&gt;1,IF($B$10=1,IF($B$5=1," As you are not eating for 90 minutes try 10g carbohydrate without bolus insulin","As you do not want an extra 10g carbohydrate without insulin, you would benefit from a 10 second all out sprint to prevent hypoglycaemia"),IF($B$10=2,IF($B$5=1," As you are not eating for 90 minutes try 20g carbohydrate without bolus insulin ","As you do not want an extra 20g carbohydrate without insulin, you would benefit from a 10 second all out sprint to prevent hypoglycaemia"),IF($B$10=3,IF($B$5=1," As you are not eating for 90 minutes try 30g carbohydrate without bolus insulin ","As you do not want an extra 30g carbohydrate without insulin, you would benefit from a 10 second all out sprint to prevent hypoglycaemia")))),IF($B$10=1,"For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5" s="2" t="str">
        <f>IF($B$8&gt;1,"",IF($B$8&lt;1,"",IF($B$9&lt;30,"",IF(B11&lt;1,"",IF(B11&gt;1,"",IF($B$8=1,IF($B$10=1,SUM(B1*0.5),IF($B$10=2,(B1*1),IF($B$10=3,(B1*1.5))))))))))</f>
        <v/>
      </c>
      <c r="J5" s="2" t="str">
        <f>IF($B$8&gt;1,"",IF($B$8&lt;1,"",IF($B$9&lt;30,"",IF(B11&lt;1,"",IF(B11&gt;1,"",IF($B$8=1,IF($B$10=1,SUM(B1*0.2),IF($B$10=2,(B1*0.3),IF($B$10=3,(B1*0.4))))))))))</f>
        <v/>
      </c>
    </row>
    <row r="6" spans="1:10" ht="55.5" customHeight="1">
      <c r="A6" s="20"/>
      <c r="B6" s="20"/>
      <c r="D6" s="1" t="s">
        <v>24</v>
      </c>
      <c r="E6" s="2" t="str">
        <f>IF($B$8&gt;1,"",IF($B$8&lt;1,"",IF($B$9&lt;1,"",IF($B$8=1,"Full insulin"))))</f>
        <v>Full insulin</v>
      </c>
      <c r="F6" s="14">
        <f>IF($B$8&gt;1,"",IF($B$8&lt;1,"",IF($B$9&lt;1,"",IF($B$8=1,IF($B$10=1,SUM(B1*0.5/60*$B$9/2),IF($B$10=2,SUM(B1*0.75/60*$B$9/2),IF($B$10=3,SUM(B1*1/60*$B$9/2))))))))</f>
        <v>4.1666666666666666E-3</v>
      </c>
      <c r="G6" s="15" t="str">
        <f>IF($B$8&gt;1,"",IF($B$8&lt;1,"",IF($B$9&lt;1,"",IF($B$8=1,IF($B$9&gt;0,"grams carbohydrate 10 minutes before start &amp; the same grams half way through or spread equally over the duration")))))</f>
        <v>grams carbohydrate 10 minutes before start &amp; the same grams half way through or spread equally over the duration</v>
      </c>
      <c r="H6" s="34" t="str">
        <f>IF($B$8&lt;1,"",IF($B$8&gt;1,"",IF($B$9&lt;30,"",IF(B11&gt;1,IF($B$10=1,IF($B$5=1," As you are not eating for 90 minutes try 10g carbohydrate without bolus insulin","As you do not want an extra 10g carbohydrate without insulin, you would benefit from a 10 second all out sprint to prevent hypoglycaemia"),IF($B$10=2,IF($B$5=1," As you are not eating for 90 minutes try 20g carbohydrate without bolus insulin ","As you do not want an extra 20g carbohydrate without insulin, you would benefit from a 10 second all out sprint to prevent hypoglycaemia"),IF($B$10=3,IF($B$5=1," As you are not eating for 90 minutes try 30g carbohydrate without bolus insulin ","As you do not want an extra 30g carbohydrate without insulin, you would benefit from a 10 second all out sprint to prevent hypoglycaemia")))),IF($B$10=1,"For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6" s="2" t="str">
        <f>IF($B$8&gt;1,"",IF($B$8&lt;1,"",IF($B$9&lt;30,"",IF(B11&lt;1,"",IF(B11&gt;1,"",IF($B$8=1,IF($B$10=1,SUM(B1*0.5),IF($B$10=2,(B1*1),IF($B$10=3,(B1*1.5))))))))))</f>
        <v/>
      </c>
      <c r="J6" s="2" t="str">
        <f>IF($B$8&gt;1,"",IF($B$8&lt;1,"",IF($B$9&lt;30,"",IF(B11&lt;1,"",IF(B11&gt;1,"",IF($B$8=1,IF($B$10=1,SUM(B1*0.2),IF($B$10=2,(B1*0.3),IF($B$10=3,(B1*0.4))))))))))</f>
        <v/>
      </c>
    </row>
    <row r="7" spans="1:10" ht="54.75" customHeight="1">
      <c r="A7" s="21"/>
      <c r="B7" s="21"/>
      <c r="D7" s="1" t="s">
        <v>4</v>
      </c>
      <c r="E7" s="2" t="str">
        <f>IF($B$8&lt;2,"",IF($B$8=3,"",IF($B$8=2,"Full insulin")))</f>
        <v/>
      </c>
      <c r="F7" s="14" t="str">
        <f>IF($B$8&lt;2,"",IF($B$8&gt;2,"",IF($B$10=1,SUM(B1*0.4/60*$B$9),IF($B$10=2,SUM(B1*0.6/60*$B$9),IF($B$10=3,SUM(B1*0.8/60*$B$9))))))</f>
        <v/>
      </c>
      <c r="G7" s="15" t="str">
        <f>IF($B$8&lt;2,"",IF($B$8=3,"",IF($B$8=2,IF($B$9&gt;0,"grams carbohydrate 10 minutes before start &amp; the same grams half way through or spread equally over the duration"))))</f>
        <v/>
      </c>
      <c r="H7" s="34" t="str">
        <f>IF($B$8&lt;2,"",IF($B$8&gt;2,"",IF($B$9&lt;30,"",IF(B11&gt;1,IF($B$10=1,IF($B$5=1," As you are not eating for 90 minutes try 10g carbohydrate without bolus insulin","As you do not want an extra 10g carbohydrate without insulin, you would benefit from a 10 second all out sprint to prevent hypoglycaemia"),IF($B$10=2,IF($B$5=1," As you are not eating for 90 minutes try 20g carbohydrate without bolus insulin ","As you do not want an extra 20g carbohydrate without insulin, you would benefit from a 10 second all out sprint to prevent hypoglycaemia"),IF($B$10=3,IF($B$5=1," As you are not eating for 90 minutes try 30g carbohydrate without bolus insulin ","As you do not want an extra 30g carbohydrate without insulin, you would benefit from a 10 second all out sprint to prevent hypoglycaemia")))),IF($B$10=1,"For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7" s="2" t="str">
        <f>IF($B$8&gt;2,"",IF($B$8&lt;2,"",IF($B$9&lt;30,"",IF(B11&lt;1,"",IF(B11&gt;1,"",IF($B$10=1,SUM(B1*0.5),IF($B$10=2,(B1*1),IF($B$10=3,(B1*1.5)))))))))</f>
        <v/>
      </c>
      <c r="J7" s="2" t="str">
        <f>IF($B$8&gt;2,"",IF($B$8&lt;2,"",IF($B$9&lt;30,"",IF(B11&lt;1,"",IF(B11&gt;1,"",IF($B$10=1,SUM(B1*0.2),IF($B$10=2,(B1*0.3),IF($B$10=3,(B1*0.4)))))))))</f>
        <v/>
      </c>
    </row>
    <row r="8" spans="1:10" ht="57" customHeight="1">
      <c r="A8" s="1" t="s">
        <v>0</v>
      </c>
      <c r="B8" s="9">
        <f>'Data Entry MDI'!B8</f>
        <v>1</v>
      </c>
      <c r="D8" s="1" t="s">
        <v>5</v>
      </c>
      <c r="E8" s="2" t="str">
        <f>IF($B$8&lt;3,"",IF($B$8=3,"Full insulin"))</f>
        <v/>
      </c>
      <c r="F8" s="14" t="str">
        <f>IF($B$8&lt;3,"",IF($B$8=3,IF($B$10=1,SUM(B1*0.2/60*$B$9),IF($B$10=2,SUM(B1*0.4/60*$B$9),IF($B$10=3,SUM(B1*0.6/60*$B$9))))))</f>
        <v/>
      </c>
      <c r="G8" s="15" t="str">
        <f>IF($B$8&lt;3,"",IF($B$8=3,IF($B$9&gt;0,"grams carbohydrate 10 minutes before start &amp; the same grams half way through or spread equally over the duration")))</f>
        <v/>
      </c>
      <c r="H8" s="34" t="str">
        <f>IF($B$8&lt;3,"",IF($B$8&gt;3,"",IF($B$9&lt;30,"",IF(B11&gt;1,IF($B$10=1,IF($B$5=1," As you are not eating for 90 minutes try 10g carbohydrate without bolus insulin ","As you do not want an extra 10g carbohydrate without insulin, you would benefit from a 10 second all out sprint to prevent hypoglycaemia"),IF($B$10=2,IF($B$5=1," As you are not eating for 90 minutes try 20g carbohydrate without bolus insulin ","As you do not want an extra 20g carbohydrate without insulin, you would benefit from a 10 second all out sprint to prevent hypoglycaemia"),IF($B$10=3,IF($B$5=1," As you are not eating for 90 minutes try 30g carbohydrate without bolus insulin ","As you do not want an extra 30g carbohydrate without insulin, you would benefit from a 10 second all out sprint to prevent hypoglycaemia")))),IF($B$10=1,"For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8" s="2" t="str">
        <f>IF($B$8&lt;3,"",IF($B$9&lt;30,"",IF(B11&lt;1,"",IF(B11&gt;1,"",IF($B$10=1,SUM(B1*0.5),IF($B$10=2,(B1*1),IF($B$10=3,(B1*1.5))))))))</f>
        <v/>
      </c>
      <c r="J8" s="2" t="str">
        <f>IF($B$8&lt;3,"",IF($B$9&lt;30,"",IF(B11&lt;1,"",IF(B11&gt;1,"",IF($B$10=1,SUM(B1*0.2),IF($B$10=2,(B1*0.3),IF($B$10=3,(B1*0.4))))))))</f>
        <v/>
      </c>
    </row>
    <row r="9" spans="1:10" ht="36.75" customHeight="1">
      <c r="A9" s="1" t="s">
        <v>1</v>
      </c>
      <c r="B9" s="9">
        <f>'Data Entry MDI'!B9</f>
        <v>1</v>
      </c>
      <c r="F9" s="8"/>
      <c r="H9" s="164" t="s">
        <v>20</v>
      </c>
      <c r="I9" s="164"/>
      <c r="J9" s="164"/>
    </row>
    <row r="10" spans="1:10" ht="30" customHeight="1">
      <c r="A10" s="1" t="s">
        <v>2</v>
      </c>
      <c r="B10" s="9">
        <f>'Data Entry MDI'!B10</f>
        <v>1</v>
      </c>
      <c r="F10" s="8"/>
      <c r="H10" s="163" t="str">
        <f>IF($B$9&lt;30,"",IF($B$10=1,"Try 10g of carbohydrate with 5g protein with no bolus insulin before bed OR reduce basal by 10% overnight",IF($B$10=2,"Try 20g of carbohydrate and 10g protein with no bolus insulin before bed OR reduce basal by 20% overnight",IF($B$10=3,"Try 30g of carbohydrate and 15g protein with no bolus insulin before bed OR reduce basal by 30% overnight"))))</f>
        <v/>
      </c>
      <c r="I10" s="163"/>
      <c r="J10" s="163"/>
    </row>
    <row r="11" spans="1:10" ht="30" customHeight="1">
      <c r="A11" s="1" t="s">
        <v>3</v>
      </c>
      <c r="B11" s="9">
        <f>'Data Entry MDI'!B11</f>
        <v>1</v>
      </c>
      <c r="F11" s="8"/>
      <c r="H11" s="163"/>
      <c r="I11" s="163"/>
      <c r="J11" s="163"/>
    </row>
    <row r="13" spans="1:10" hidden="1"/>
    <row r="14" spans="1:10" hidden="1"/>
    <row r="15" spans="1:10" hidden="1"/>
    <row r="16" spans="1:10" hidden="1"/>
    <row r="17" spans="1:1" hidden="1"/>
    <row r="18" spans="1:1" hidden="1"/>
    <row r="19" spans="1:1" hidden="1"/>
    <row r="20" spans="1:1" hidden="1">
      <c r="A20" s="3">
        <v>1</v>
      </c>
    </row>
    <row r="21" spans="1:1" hidden="1">
      <c r="A21" s="3">
        <v>2</v>
      </c>
    </row>
    <row r="22" spans="1:1" hidden="1">
      <c r="A22" s="3">
        <v>3</v>
      </c>
    </row>
    <row r="23" spans="1:1" hidden="1">
      <c r="A23" s="3">
        <v>4</v>
      </c>
    </row>
    <row r="24" spans="1:1" hidden="1">
      <c r="A24" s="3">
        <v>5</v>
      </c>
    </row>
    <row r="25" spans="1:1" hidden="1"/>
    <row r="26" spans="1:1" hidden="1"/>
    <row r="27" spans="1:1" hidden="1"/>
    <row r="28" spans="1:1" hidden="1"/>
  </sheetData>
  <mergeCells count="6">
    <mergeCell ref="H10:J11"/>
    <mergeCell ref="F2:G2"/>
    <mergeCell ref="H2:J2"/>
    <mergeCell ref="D1:E1"/>
    <mergeCell ref="H1:J1"/>
    <mergeCell ref="H9:J9"/>
  </mergeCells>
  <dataValidations xWindow="303" yWindow="450" count="5">
    <dataValidation type="list" showInputMessage="1" showErrorMessage="1" promptTitle="Minutes since last bolus" prompt="1 = 0 - 90 minutes&#10;High insulin action&#10;&#10;2 = 90 - 180 minutes&#10;Medium insulin action&#10;&#10;3 = more than 180 minutes&#10;Low insulin action" sqref="B8:B11">
      <formula1>$A$20:$A$22</formula1>
    </dataValidation>
    <dataValidation type="textLength" allowBlank="1" showInputMessage="1" showErrorMessage="1" promptTitle="Activity name" prompt="Enter the name of your activity" sqref="B2">
      <formula1>0</formula1>
      <formula2>100</formula2>
    </dataValidation>
    <dataValidation type="decimal" showInputMessage="1" showErrorMessage="1" promptTitle="Weight (kg)" prompt="Enter weight in kilograms" sqref="B1">
      <formula1>1</formula1>
      <formula2>200</formula2>
    </dataValidation>
    <dataValidation type="textLength" allowBlank="1" showInputMessage="1" showErrorMessage="1" promptTitle="Name" prompt="Enter name of the exerciser" sqref="B3">
      <formula1>0</formula1>
      <formula2>100</formula2>
    </dataValidation>
    <dataValidation showInputMessage="1" showErrorMessage="1" promptTitle="Extra carbs vs insulin reduction" prompt="&#10;1 = Preference for extra carbs &amp; when activity is unplanned&#10;&#10;2 = Preference for insulin reduction, less CHO but requires more planning" sqref="B5"/>
  </dataValidation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M24"/>
  <sheetViews>
    <sheetView view="pageBreakPreview" topLeftCell="E2" zoomScaleSheetLayoutView="100" zoomScalePageLayoutView="120" workbookViewId="0">
      <selection activeCell="I10" sqref="I10:K10"/>
    </sheetView>
  </sheetViews>
  <sheetFormatPr defaultRowHeight="15.75"/>
  <cols>
    <col min="1" max="1" width="40.28515625" style="40" hidden="1" customWidth="1"/>
    <col min="2" max="2" width="22" style="40" hidden="1" customWidth="1"/>
    <col min="3" max="3" width="12.5703125" style="40" hidden="1" customWidth="1"/>
    <col min="4" max="4" width="9.5703125" style="40" hidden="1" customWidth="1"/>
    <col min="5" max="5" width="19.140625" style="57" customWidth="1"/>
    <col min="6" max="6" width="4.140625" style="57" hidden="1" customWidth="1"/>
    <col min="7" max="7" width="8.28515625" style="57" customWidth="1"/>
    <col min="8" max="8" width="40.85546875" style="57" customWidth="1"/>
    <col min="9" max="9" width="38.7109375" style="57" customWidth="1"/>
    <col min="10" max="11" width="12" style="57" customWidth="1"/>
    <col min="12" max="16384" width="9.140625" style="40"/>
  </cols>
  <sheetData>
    <row r="1" spans="1:13" ht="33" hidden="1" customHeight="1">
      <c r="B1" s="120" t="s">
        <v>13</v>
      </c>
      <c r="C1" s="143">
        <f>'DMF Data Entry'!C4:C4</f>
        <v>0</v>
      </c>
      <c r="E1" s="51">
        <f>'Data Entry'!D1</f>
        <v>0</v>
      </c>
      <c r="F1" s="51"/>
      <c r="G1" s="144">
        <f>'Data Entry'!G1</f>
        <v>0</v>
      </c>
      <c r="H1" s="144"/>
      <c r="I1" s="144"/>
      <c r="J1" s="144"/>
      <c r="K1" s="144"/>
    </row>
    <row r="2" spans="1:13" ht="21.75" customHeight="1">
      <c r="B2" s="120"/>
      <c r="C2" s="143"/>
      <c r="E2" s="145" t="s">
        <v>41</v>
      </c>
      <c r="F2" s="52"/>
      <c r="G2" s="147" t="s">
        <v>71</v>
      </c>
      <c r="H2" s="148"/>
      <c r="I2" s="149" t="s">
        <v>72</v>
      </c>
      <c r="J2" s="148"/>
      <c r="K2" s="150"/>
    </row>
    <row r="3" spans="1:13" ht="63">
      <c r="A3" s="41"/>
      <c r="B3" s="42" t="s">
        <v>35</v>
      </c>
      <c r="C3" s="43">
        <f>'DMF Data Entry'!C5</f>
        <v>0</v>
      </c>
      <c r="E3" s="146"/>
      <c r="F3" s="53"/>
      <c r="G3" s="54" t="s">
        <v>8</v>
      </c>
      <c r="H3" s="83" t="s">
        <v>42</v>
      </c>
      <c r="I3" s="84" t="s">
        <v>44</v>
      </c>
      <c r="J3" s="54" t="s">
        <v>46</v>
      </c>
      <c r="K3" s="54" t="s">
        <v>47</v>
      </c>
    </row>
    <row r="4" spans="1:13" ht="120.75" customHeight="1">
      <c r="A4" s="41"/>
      <c r="B4" s="42" t="s">
        <v>12</v>
      </c>
      <c r="C4" s="44">
        <f>'DMF Data Entry'!C7</f>
        <v>1</v>
      </c>
      <c r="E4" s="92" t="str">
        <f>IF($C$11=1,IF($C$5=2,'Data Entry'!D4:D5,""),IF($C$11=2,'Data Entry'!D8,IF($C$11=3,'Data Entry'!D10,"")))</f>
        <v>1: Try usual bolus first but If blood glucose rises, try adding 10% to pre-activity bolus insulin next time</v>
      </c>
      <c r="F4" s="58" t="str">
        <f>IF($C$11=1,IF($C$5=2,'Data Entry'!E4:E5,""),IF($C$11=2,'Data Entry'!E8,IF($C$11=3,'Data Entry'!E10,"")))</f>
        <v/>
      </c>
      <c r="G4" s="95" t="e">
        <f>IF($C$6&lt;6,SUM(F4*1.8),IF($C$6&lt;10,SUM(F4*1.6),IF($C$6&lt;12,SUM(F4*1.4),IF($C$6&lt;18,SUM(F4*1.2),IF($C$6&gt;17.99,SUM(F4*1))))))</f>
        <v>#VALUE!</v>
      </c>
      <c r="H4" s="167" t="str">
        <f>IF($C$11=1,IF($C$5=2,'Data Entry'!F4:F5,""),IF($C$11=2,'Data Entry'!F8,IF($C$11=3,'Data Entry'!F10,"")))</f>
        <v/>
      </c>
      <c r="I4" s="94" t="str">
        <f>IF($C$11=1,IF($C$5=2,'Data Entry'!G4:G5,""),IF($C$11=2,'Data Entry'!G8,IF($C$11=3,'Data Entry'!G10,"")))</f>
        <v/>
      </c>
      <c r="J4" s="95" t="e">
        <f>IF($C$6&lt;6,SUM(M4*1.8),IF($C$6&lt;10,SUM(M4*1.6),IF($C$6&lt;12,SUM(M4*1.4),IF($C$6&lt;18,SUM(M4*1.2),IF($C$6&gt;17.99,SUM(M4*1))))))</f>
        <v>#VALUE!</v>
      </c>
      <c r="K4" s="95" t="str">
        <f>IF($C$11=1,IF($C$5=2,'Data Entry'!I4:I5,""),IF($C$11=2,'Data Entry'!I8,IF($C$11=3,'Data Entry'!I10,"")))</f>
        <v/>
      </c>
      <c r="M4" s="45" t="str">
        <f>IF($C$11=1,IF($C$5=2,'Data Entry'!H4:H5,""),IF($C$11=2,'Data Entry'!H8,IF($C$11=3,'Data Entry'!H10,"")))</f>
        <v/>
      </c>
    </row>
    <row r="5" spans="1:13" ht="45.75" hidden="1">
      <c r="A5" s="46"/>
      <c r="B5" s="42" t="s">
        <v>48</v>
      </c>
      <c r="C5" s="44">
        <v>2</v>
      </c>
      <c r="E5" s="59" t="str">
        <f>IF($C$11=1,IF($C$5=1,IF($C$9=1,'Data Entry'!D4,IF($C$9=2,'Data Entry'!D6,IF($C$9=3,'Data Entry'!D6,""))),""),"")</f>
        <v/>
      </c>
      <c r="F5" s="58" t="str">
        <f>IF($C$11=1,IF($C$5=1,IF($C$9=1,'Data Entry'!E4,IF($C$9=2,'Data Entry'!E6,IF($C$9=3,'Data Entry'!E6,""))),""),"")</f>
        <v/>
      </c>
      <c r="G5" s="59" t="e">
        <f>IF($C$11=1,IF($C$6&lt;6,SUM(F5*1.8),IF($C$6&lt;10,SUM(F5*1.6),IF($C$6&lt;12,SUM(F5*1.4),IF($C$6&lt;18,SUM(F5*1.2),IF($C$6&gt;17.99,SUM(F5*1)))))),"")</f>
        <v>#VALUE!</v>
      </c>
      <c r="H5" s="93" t="str">
        <f>IF($C$11=1,IF($C$5=1,IF($C$9=1,'Data Entry'!F4,IF($C$9=2,'Data Entry'!F6,IF($C$9=3,'Data Entry'!F6,""))),""),"")</f>
        <v/>
      </c>
      <c r="I5" s="94" t="str">
        <f>IF($C$11=1,IF($C$5=1,IF($C$9=1,'Data Entry'!G4,IF($C$9=2,'Data Entry'!G6,IF($C$9=3,'Data Entry'!G6,""))),""),"")</f>
        <v/>
      </c>
      <c r="J5" s="92" t="e">
        <f>IF($C$11=1,IF($C$6&lt;6,SUM(M5*1.8),IF($C$6&lt;10,SUM(M5*1.6),IF($C$6&lt;12,SUM(M5*1.4),IF($C$6&lt;18,SUM(M5*1.2),IF($C$6&gt;17.99,SUM(M5*1)))))),"")</f>
        <v>#VALUE!</v>
      </c>
      <c r="K5" s="95" t="str">
        <f>IF($C$11=1,IF($C$5=1,IF($C$9=1,'Data Entry'!I4,IF($C$9=2,'Data Entry'!I6,IF($C$9=3,'Data Entry'!I6,""))),""),"")</f>
        <v/>
      </c>
      <c r="M5" s="47" t="str">
        <f>IF($C$11=1,IF($C$5=1,IF($C$9=1,'Data Entry'!H4,IF($C$9=2,'Data Entry'!H6,IF($C$9=3,'Data Entry'!H6,""))),""),"")</f>
        <v/>
      </c>
    </row>
    <row r="6" spans="1:13" ht="42.75" customHeight="1">
      <c r="A6" s="46"/>
      <c r="B6" s="48" t="s">
        <v>49</v>
      </c>
      <c r="C6" s="49">
        <f>'DMF Data Entry'!C8</f>
        <v>1</v>
      </c>
      <c r="E6" s="55" t="s">
        <v>45</v>
      </c>
      <c r="F6" s="56"/>
      <c r="G6" s="136" t="s">
        <v>39</v>
      </c>
      <c r="H6" s="137"/>
      <c r="I6" s="138" t="s">
        <v>40</v>
      </c>
      <c r="J6" s="137"/>
      <c r="K6" s="139"/>
    </row>
    <row r="7" spans="1:13" ht="24" customHeight="1">
      <c r="A7" s="46"/>
      <c r="B7" s="48" t="s">
        <v>28</v>
      </c>
      <c r="C7" s="43">
        <f>'DMF Data Entry'!C9</f>
        <v>1</v>
      </c>
      <c r="E7" s="140" t="s">
        <v>61</v>
      </c>
      <c r="F7" s="60"/>
      <c r="G7" s="132" t="s">
        <v>62</v>
      </c>
      <c r="H7" s="133"/>
      <c r="I7" s="134"/>
      <c r="J7" s="133"/>
      <c r="K7" s="135"/>
    </row>
    <row r="8" spans="1:13" ht="18.75" customHeight="1">
      <c r="A8" s="46"/>
      <c r="B8" s="126" t="s">
        <v>29</v>
      </c>
      <c r="C8" s="50"/>
      <c r="E8" s="141"/>
      <c r="F8" s="61"/>
      <c r="G8" s="132" t="s">
        <v>63</v>
      </c>
      <c r="H8" s="133"/>
      <c r="I8" s="134" t="s">
        <v>62</v>
      </c>
      <c r="J8" s="133"/>
      <c r="K8" s="135"/>
    </row>
    <row r="9" spans="1:13" ht="20.25" customHeight="1">
      <c r="A9" s="46"/>
      <c r="B9" s="126"/>
      <c r="C9" s="43">
        <f>'DMF Data Entry'!C10</f>
        <v>1</v>
      </c>
      <c r="E9" s="141"/>
      <c r="F9" s="61"/>
      <c r="G9" s="132" t="s">
        <v>64</v>
      </c>
      <c r="H9" s="133"/>
      <c r="I9" s="134" t="s">
        <v>65</v>
      </c>
      <c r="J9" s="133"/>
      <c r="K9" s="135"/>
    </row>
    <row r="10" spans="1:13" ht="30.75" customHeight="1">
      <c r="A10" s="46"/>
      <c r="B10" s="120" t="s">
        <v>0</v>
      </c>
      <c r="C10" s="50"/>
      <c r="E10" s="141"/>
      <c r="F10" s="61"/>
      <c r="G10" s="132" t="s">
        <v>66</v>
      </c>
      <c r="H10" s="133"/>
      <c r="I10" s="134" t="str">
        <f>IF($C$13&lt;45,"8-14mmol/l: Consider half usual correction dose rather than full dose due to risk of hypoglycaemia",IF($C$7=2,IF($C$17=2,IF($C$5=1,"8-14mmol/l: Do not have planned hypo prevention carbohydrate &amp; consider half usual correction dose rather than full dose due to risk of hypoglycaemia","8-14mmol/l: Do not reduce basal rate or do not perform 10 second sprint and  consider half usual correction dose rather than full dose due to risk of hypoglycaemia"),"8-14mmol/l: Continue with plan and include correction"),IF($C$17=2,IF($C$5=1,"8-14mmol/l: Do not have planned hypo prevention carbohydrate &amp;  consider half usual correction dose rather than full dose due to risk of hypoglycaemia","8-14mmol/l: Do not perform 10 second sprint and consider bolusing half of usual correction"),"8-14mmol/l: Continue with plan and include correction")))</f>
        <v>8-14mmol/l: Consider half usual correction dose rather than full dose due to risk of hypoglycaemia</v>
      </c>
      <c r="J10" s="133"/>
      <c r="K10" s="135"/>
    </row>
    <row r="11" spans="1:13" ht="19.5" customHeight="1">
      <c r="A11" s="46"/>
      <c r="B11" s="120"/>
      <c r="C11" s="44">
        <f>'DMF Data Entry'!C11</f>
        <v>1</v>
      </c>
      <c r="E11" s="141"/>
      <c r="F11" s="61"/>
      <c r="G11" s="132" t="s">
        <v>67</v>
      </c>
      <c r="H11" s="133"/>
      <c r="I11" s="134" t="s">
        <v>67</v>
      </c>
      <c r="J11" s="133"/>
      <c r="K11" s="135"/>
    </row>
    <row r="12" spans="1:13" ht="30.75" customHeight="1">
      <c r="A12" s="46"/>
      <c r="B12" s="120" t="s">
        <v>38</v>
      </c>
      <c r="C12" s="50"/>
      <c r="E12" s="141"/>
      <c r="F12" s="61"/>
      <c r="G12" s="132" t="s">
        <v>68</v>
      </c>
      <c r="H12" s="133"/>
      <c r="I12" s="134" t="s">
        <v>69</v>
      </c>
      <c r="J12" s="133"/>
      <c r="K12" s="135"/>
    </row>
    <row r="13" spans="1:13" ht="63.75" customHeight="1">
      <c r="A13" s="46"/>
      <c r="B13" s="120"/>
      <c r="C13" s="43">
        <f>'DMF Data Entry'!C12</f>
        <v>1</v>
      </c>
      <c r="E13" s="142"/>
      <c r="F13" s="62"/>
      <c r="G13" s="132" t="s">
        <v>53</v>
      </c>
      <c r="H13" s="133"/>
      <c r="I13" s="134" t="s">
        <v>54</v>
      </c>
      <c r="J13" s="133"/>
      <c r="K13" s="135"/>
    </row>
    <row r="14" spans="1:13" ht="23.25" customHeight="1">
      <c r="A14" s="46"/>
      <c r="B14" s="120" t="s">
        <v>37</v>
      </c>
      <c r="C14" s="50"/>
      <c r="E14" s="121" t="s">
        <v>50</v>
      </c>
      <c r="F14" s="122"/>
      <c r="G14" s="122"/>
      <c r="H14" s="122"/>
      <c r="I14" s="122"/>
      <c r="J14" s="122"/>
      <c r="K14" s="123"/>
    </row>
    <row r="15" spans="1:13" ht="20.25" customHeight="1">
      <c r="A15" s="46"/>
      <c r="B15" s="120"/>
      <c r="C15" s="43">
        <f>'DMF Data Entry'!C13</f>
        <v>1</v>
      </c>
      <c r="E15" s="85" t="s">
        <v>55</v>
      </c>
      <c r="F15" s="63"/>
      <c r="G15" s="124" t="str">
        <f>'Data Entry'!G13</f>
        <v/>
      </c>
      <c r="H15" s="124"/>
      <c r="I15" s="124"/>
      <c r="J15" s="124"/>
      <c r="K15" s="125"/>
    </row>
    <row r="16" spans="1:13" ht="13.5" hidden="1" customHeight="1">
      <c r="A16" s="46"/>
      <c r="B16" s="126" t="s">
        <v>36</v>
      </c>
      <c r="C16" s="50"/>
      <c r="E16" s="127" t="s">
        <v>56</v>
      </c>
      <c r="F16" s="64"/>
      <c r="G16" s="128" t="str">
        <f>'Data Entry'!G14</f>
        <v/>
      </c>
      <c r="H16" s="129"/>
      <c r="I16" s="129"/>
      <c r="J16" s="129"/>
      <c r="K16" s="130"/>
    </row>
    <row r="17" spans="1:11" ht="20.25" customHeight="1">
      <c r="A17" s="46"/>
      <c r="B17" s="126"/>
      <c r="C17" s="43">
        <f>'DMF Data Entry'!C14</f>
        <v>1</v>
      </c>
      <c r="E17" s="127"/>
      <c r="F17" s="63"/>
      <c r="G17" s="131"/>
      <c r="H17" s="124"/>
      <c r="I17" s="124"/>
      <c r="J17" s="124"/>
      <c r="K17" s="125"/>
    </row>
    <row r="18" spans="1:11" hidden="1"/>
    <row r="19" spans="1:11" hidden="1"/>
    <row r="20" spans="1:11" hidden="1"/>
    <row r="21" spans="1:11" hidden="1"/>
    <row r="22" spans="1:11" hidden="1">
      <c r="B22" s="40">
        <v>1</v>
      </c>
    </row>
    <row r="23" spans="1:11" ht="20.25" hidden="1" customHeight="1">
      <c r="B23" s="40">
        <v>2</v>
      </c>
    </row>
    <row r="24" spans="1:11" ht="21" hidden="1" customHeight="1">
      <c r="B24" s="40">
        <v>3</v>
      </c>
    </row>
  </sheetData>
  <sheetProtection password="E63C" sheet="1" objects="1" scenarios="1"/>
  <mergeCells count="32">
    <mergeCell ref="B1:B2"/>
    <mergeCell ref="C1:C2"/>
    <mergeCell ref="G1:K1"/>
    <mergeCell ref="E2:E3"/>
    <mergeCell ref="G2:H2"/>
    <mergeCell ref="I2:K2"/>
    <mergeCell ref="B8:B9"/>
    <mergeCell ref="G8:H8"/>
    <mergeCell ref="I8:K8"/>
    <mergeCell ref="G9:H9"/>
    <mergeCell ref="I9:K9"/>
    <mergeCell ref="G6:H6"/>
    <mergeCell ref="I6:K6"/>
    <mergeCell ref="E7:E13"/>
    <mergeCell ref="G7:H7"/>
    <mergeCell ref="I7:K7"/>
    <mergeCell ref="B12:B13"/>
    <mergeCell ref="G12:H12"/>
    <mergeCell ref="I12:K12"/>
    <mergeCell ref="G13:H13"/>
    <mergeCell ref="I13:K13"/>
    <mergeCell ref="B10:B11"/>
    <mergeCell ref="G10:H10"/>
    <mergeCell ref="I10:K10"/>
    <mergeCell ref="G11:H11"/>
    <mergeCell ref="I11:K11"/>
    <mergeCell ref="B14:B15"/>
    <mergeCell ref="E14:K14"/>
    <mergeCell ref="G15:K15"/>
    <mergeCell ref="B16:B17"/>
    <mergeCell ref="E16:E17"/>
    <mergeCell ref="G16:K17"/>
  </mergeCells>
  <dataValidations count="16">
    <dataValidation type="list" showInputMessage="1" showErrorMessage="1" promptTitle="Extra carbs vs insulin reduction" prompt="&#10;1 = Preference for extra carbohydrate &amp; when activity is unplanned&#10;&#10;2 = Preference for insulin reduction, less carbohydrate but requires more planning" sqref="C5">
      <formula1>$B$22:$B$23</formula1>
    </dataValidation>
    <dataValidation type="list" showDropDown="1" promptTitle="Eating within 90 minutes after? " prompt="1 = Yes&#10;2 = No" sqref="C16">
      <formula1>$B$22:$B$23</formula1>
    </dataValidation>
    <dataValidation type="list" showDropDown="1" promptTitle="Intensityof activity" prompt="1 = Low: 3-5 out of 10&#10;RPE 7 - 11&#10;&#10;2 = Medium: 5-7 out of 10&#10;RPE 12 - 16&#10;&#10;3 = High: 5-7 out of 10&#10;RPE 16 - 20" sqref="C14">
      <formula1>$B$22:$B$24</formula1>
    </dataValidation>
    <dataValidation type="whole" promptTitle="Time in minutes of activity" prompt="Enter the duration of activity, between 1 and 300 minutes" sqref="C12">
      <formula1>1</formula1>
      <formula2>300</formula2>
    </dataValidation>
    <dataValidation type="list" showDropDown="1" promptTitle="Minutes since last bolus" prompt="1 = 0 - 90 minutes&#10;High insulin action&#10;&#10;2 = 90 - 180 minutes&#10;Medium insulin action&#10;&#10;3 = more than 180 minutes&#10;Low insulin action" sqref="C10">
      <formula1>$B$22:$B$24</formula1>
    </dataValidation>
    <dataValidation type="list" showDropDown="1" promptTitle="Minutes since last bolus" prompt="1 = Anaerobic (short &amp; sharp) e.g. weights, 800 meters&#10;&#10;2 = Intermittent (stop start) e.g. ball sports, circuit classes&#10;&#10;3 = Aerobic (continous/endurance) e.g. running, cycling" sqref="C8">
      <formula1>$B$22:$B$24</formula1>
    </dataValidation>
    <dataValidation type="list" showInputMessage="1" showErrorMessage="1" promptTitle="Therapy type" prompt="1 = MDI&#10;2 = Pump" sqref="C7">
      <formula1>$B$22:$B$23</formula1>
    </dataValidation>
    <dataValidation type="textLength" allowBlank="1" showInputMessage="1" showErrorMessage="1" promptTitle="Name" prompt="Enter name of the exerciser" sqref="C1">
      <formula1>0</formula1>
      <formula2>100</formula2>
    </dataValidation>
    <dataValidation type="decimal" showInputMessage="1" showErrorMessage="1" promptTitle="Weight (kg)" prompt="Enter weight in kilograms" sqref="C4">
      <formula1>1</formula1>
      <formula2>200</formula2>
    </dataValidation>
    <dataValidation type="textLength" allowBlank="1" showInputMessage="1" showErrorMessage="1" promptTitle="Activity name" prompt="Enter the name of your activity" sqref="C2:C3">
      <formula1>0</formula1>
      <formula2>100</formula2>
    </dataValidation>
    <dataValidation type="list" showInputMessage="1" showErrorMessage="1" promptTitle="Minutes since last bolus" prompt="1 = 0 - 90 minutes&#10;High insulin action&#10;&#10;2 = 90 - 180 minutes&#10;Medium insulin action&#10;&#10;3 = more than 180 minutes&#10;Low insulin action" sqref="C11">
      <formula1>$B$22:$B$24</formula1>
    </dataValidation>
    <dataValidation type="whole" showInputMessage="1" showErrorMessage="1" promptTitle="Time in minutes of activity" prompt="Enter the duration of activity, between 1 and 300 minutes" sqref="C13">
      <formula1>1</formula1>
      <formula2>300</formula2>
    </dataValidation>
    <dataValidation type="list" showInputMessage="1" showErrorMessage="1" promptTitle="Intensityof activity" prompt="1 = Low: 3-5 out of 10&#10;&#10;2 = Med: 5-7 out of 10&#10;&#10;3 = High: &gt;7 out of 10&#10;" sqref="C15">
      <formula1>$B$22:$B$24</formula1>
    </dataValidation>
    <dataValidation type="list" showInputMessage="1" showErrorMessage="1" promptTitle="Eating within 60 minutes after? " prompt="1 = Yes&#10;2 = No" sqref="C17">
      <formula1>$B$22:$B$23</formula1>
    </dataValidation>
    <dataValidation type="decimal" allowBlank="1" showDropDown="1" promptTitle="Therapy type" prompt="1 = MDI&#10;2 = Pump" sqref="C6">
      <formula1>0.1</formula1>
      <formula2>99.9</formula2>
    </dataValidation>
    <dataValidation type="list" showInputMessage="1" showErrorMessage="1" promptTitle="Type of Activity" prompt="1 = Anaerobic (short &amp; sharp) e.g. weights, 800 meters&#10;&#10;2 = Mixed (Intermittent/stop start) e.g. ball sports, circuit classes&#10;&#10;3 = Aerobic (continous/endurance) e.g. running, cycling" sqref="C9">
      <formula1>$B$22:$B$24</formula1>
    </dataValidation>
  </dataValidations>
  <pageMargins left="0.7" right="0.7" top="0.75" bottom="0.75" header="0.3" footer="0.3"/>
  <pageSetup paperSize="9" orientation="landscape" r:id="rId1"/>
  <colBreaks count="2" manualBreakCount="2">
    <brk id="1" max="1048575" man="1"/>
    <brk id="3" max="1048575" man="1"/>
  </colBreaks>
</worksheet>
</file>

<file path=xl/worksheets/sheet3.xml><?xml version="1.0" encoding="utf-8"?>
<worksheet xmlns="http://schemas.openxmlformats.org/spreadsheetml/2006/main" xmlns:r="http://schemas.openxmlformats.org/officeDocument/2006/relationships">
  <dimension ref="A1:I30"/>
  <sheetViews>
    <sheetView view="pageBreakPreview" topLeftCell="A4" zoomScale="90" zoomScaleNormal="60" zoomScaleSheetLayoutView="90" workbookViewId="0">
      <selection activeCell="B9" sqref="B9"/>
    </sheetView>
  </sheetViews>
  <sheetFormatPr defaultRowHeight="15"/>
  <cols>
    <col min="1" max="1" width="15" style="3" customWidth="1"/>
    <col min="2" max="2" width="13.7109375" style="3" customWidth="1"/>
    <col min="3" max="3" width="2.42578125" style="3" customWidth="1"/>
    <col min="4" max="4" width="21.140625" style="3" customWidth="1"/>
    <col min="5" max="5" width="5.28515625" style="3" customWidth="1"/>
    <col min="6" max="6" width="55.7109375" style="3" customWidth="1"/>
    <col min="7" max="7" width="61.85546875" style="3" customWidth="1"/>
    <col min="8" max="8" width="28.85546875" style="3" customWidth="1"/>
    <col min="9" max="9" width="28.28515625" style="3" customWidth="1"/>
    <col min="10" max="16384" width="9.140625" style="3"/>
  </cols>
  <sheetData>
    <row r="1" spans="1:9" ht="27.75" customHeight="1">
      <c r="A1" s="1" t="s">
        <v>12</v>
      </c>
      <c r="B1" s="24">
        <f>'DMF Data Entry'!C6</f>
        <v>1</v>
      </c>
      <c r="D1" s="159">
        <f>B3</f>
        <v>0</v>
      </c>
      <c r="E1" s="159"/>
      <c r="F1" s="159"/>
      <c r="G1" s="159">
        <f>B2</f>
        <v>0</v>
      </c>
      <c r="H1" s="159"/>
      <c r="I1" s="159"/>
    </row>
    <row r="2" spans="1:9" ht="44.25" customHeight="1">
      <c r="A2" s="1" t="s">
        <v>16</v>
      </c>
      <c r="B2" s="24">
        <f>'DMF Data Entry'!C5</f>
        <v>0</v>
      </c>
      <c r="D2" s="160" t="s">
        <v>17</v>
      </c>
      <c r="E2" s="162" t="s">
        <v>18</v>
      </c>
      <c r="F2" s="162"/>
      <c r="G2" s="162" t="s">
        <v>19</v>
      </c>
      <c r="H2" s="162"/>
      <c r="I2" s="162"/>
    </row>
    <row r="3" spans="1:9" ht="66.75" customHeight="1">
      <c r="A3" s="1" t="s">
        <v>13</v>
      </c>
      <c r="B3" s="24">
        <f>'DMF Data Entry'!C4</f>
        <v>0</v>
      </c>
      <c r="D3" s="161"/>
      <c r="E3" s="7" t="s">
        <v>8</v>
      </c>
      <c r="F3" s="7" t="s">
        <v>15</v>
      </c>
      <c r="G3" s="7" t="s">
        <v>9</v>
      </c>
      <c r="H3" s="7" t="s">
        <v>7</v>
      </c>
      <c r="I3" s="7" t="s">
        <v>25</v>
      </c>
    </row>
    <row r="4" spans="1:9" ht="39.75" customHeight="1">
      <c r="A4" s="22" t="s">
        <v>28</v>
      </c>
      <c r="B4" s="24">
        <f>'DMF Data Entry'!C9</f>
        <v>1</v>
      </c>
      <c r="D4" s="155" t="str">
        <f>IF($B$4=1,'Data Entry MDI'!D4:D5,IF($B$4=2,'Data Entry Pump'!D4:D5))</f>
        <v>1: Try usual bolus first but If blood glucose rises, try adding 10% to pre-activity bolus insulin next time</v>
      </c>
      <c r="E4" s="153" t="str">
        <f>IF($B$4=1,'Data Entry MDI'!E4:E5,IF($B$4=2,'Data Entry Pump'!E4:E5))</f>
        <v/>
      </c>
      <c r="F4" s="155" t="str">
        <f>IF($B$4=1,'Data Entry MDI'!F4:F5,IF($B$4=2,'Data Entry Pump'!F4:F5))</f>
        <v/>
      </c>
      <c r="G4" s="155" t="str">
        <f>IF($B$4=1,'Data Entry MDI'!G4:G5,IF($B$4=2,'Data Entry Pump'!G4:G5))</f>
        <v/>
      </c>
      <c r="H4" s="153" t="str">
        <f>IF($B$4=1,'Data Entry MDI'!H4:H5,IF($B$4=2,'Data Entry Pump'!H4:H5))</f>
        <v/>
      </c>
      <c r="I4" s="153" t="str">
        <f>IF($B$4=1,'Data Entry MDI'!I4:I5,IF($B$4=2,'Pump Anaerobic (short &amp; sharp)'!J4:J5))</f>
        <v/>
      </c>
    </row>
    <row r="5" spans="1:9" ht="39.75" customHeight="1">
      <c r="A5" s="23" t="s">
        <v>29</v>
      </c>
      <c r="B5" s="24">
        <f>'DMF Data Entry'!C10</f>
        <v>1</v>
      </c>
      <c r="D5" s="156"/>
      <c r="E5" s="154"/>
      <c r="F5" s="156"/>
      <c r="G5" s="156"/>
      <c r="H5" s="154"/>
      <c r="I5" s="154"/>
    </row>
    <row r="6" spans="1:9" ht="39.75" customHeight="1">
      <c r="A6" s="25" t="s">
        <v>51</v>
      </c>
      <c r="B6" s="38">
        <f>'DMF Data Entry'!C7</f>
        <v>1</v>
      </c>
      <c r="D6" s="155" t="str">
        <f>IF($B$4=1,'Data Entry MDI'!D6,IF($B$4=2,'Data Entry Pump'!D6))</f>
        <v/>
      </c>
      <c r="E6" s="153" t="str">
        <f>IF($B$4=1,'Data Entry MDI'!E6,IF($B$4=2,'Data Entry Pump'!E6))</f>
        <v/>
      </c>
      <c r="F6" s="155" t="str">
        <f>IF($B$4=1,'Data Entry MDI'!F6,IF($B$4=2,'Data Entry Pump'!F6))</f>
        <v/>
      </c>
      <c r="G6" s="155" t="str">
        <f>IF($B$4=1,'Data Entry MDI'!G6,IF($B$4=2,'Data Entry Pump'!G6))</f>
        <v/>
      </c>
      <c r="H6" s="153" t="str">
        <f>IF($B$4=1,'Data Entry MDI'!H6,IF($B$4=2,'Data Entry Pump'!H6))</f>
        <v/>
      </c>
      <c r="I6" s="153" t="str">
        <f>IF($B$4=1,'Data Entry MDI'!I6,IF($B$4=2,'Data Entry Pump'!I6))</f>
        <v/>
      </c>
    </row>
    <row r="7" spans="1:9" ht="55.5" customHeight="1">
      <c r="A7" s="20"/>
      <c r="B7" s="20"/>
      <c r="D7" s="156"/>
      <c r="E7" s="154"/>
      <c r="F7" s="156"/>
      <c r="G7" s="156"/>
      <c r="H7" s="154"/>
      <c r="I7" s="154"/>
    </row>
    <row r="8" spans="1:9" ht="55.5" customHeight="1">
      <c r="A8" s="20"/>
      <c r="B8" s="20"/>
      <c r="D8" s="155" t="str">
        <f>IF($B$4=1,'Data Entry MDI'!D7,IF($B$4=2,IF($B$6=1,'Data Entry Pump'!D8,'Data Entry Pump'!D7)))</f>
        <v/>
      </c>
      <c r="E8" s="153" t="str">
        <f>IF($B$4=1,'Data Entry MDI'!E7,IF($B$4=2,IF($B$6=1,'Data Entry Pump'!E8,'Data Entry Pump'!E7)))</f>
        <v/>
      </c>
      <c r="F8" s="155" t="str">
        <f>IF($B$4=1,'Data Entry MDI'!F7,IF($B$4=2,IF($B$6=1,'Data Entry Pump'!F8,'Data Entry Pump'!F7)))</f>
        <v/>
      </c>
      <c r="G8" s="155" t="str">
        <f>IF($B$4=1,'Data Entry MDI'!G7,IF($B$4=2,IF($B$6=1,'Data Entry Pump'!G8,'Data Entry Pump'!G7)))</f>
        <v/>
      </c>
      <c r="H8" s="153" t="str">
        <f>IF($B$4=1,'Data Entry MDI'!H7,IF($B$4=2,IF($B$6=1,'Data Entry Pump'!H8,'Data Entry Pump'!H7)))</f>
        <v/>
      </c>
      <c r="I8" s="153" t="str">
        <f>IF($B$4=1,'Data Entry MDI'!I7,IF($B$4=2,IF($B$6=1,'Data Entry Pump'!I8,'Data Entry Pump'!I7)))</f>
        <v/>
      </c>
    </row>
    <row r="9" spans="1:9" ht="74.25" customHeight="1">
      <c r="A9" s="21"/>
      <c r="B9" s="21"/>
      <c r="D9" s="156"/>
      <c r="E9" s="154"/>
      <c r="F9" s="156"/>
      <c r="G9" s="156"/>
      <c r="H9" s="154"/>
      <c r="I9" s="154"/>
    </row>
    <row r="10" spans="1:9" ht="57" customHeight="1">
      <c r="A10" s="1" t="s">
        <v>0</v>
      </c>
      <c r="B10" s="24">
        <f>'DMF Data Entry'!C11</f>
        <v>1</v>
      </c>
      <c r="D10" s="155" t="str">
        <f>IF($B$4=1,'Data Entry MDI'!D8,IF($B$4=2,'Data Entry Pump'!D9))</f>
        <v/>
      </c>
      <c r="E10" s="157" t="str">
        <f>IF($B$4=1,'Data Entry MDI'!E8,IF($B$4=2,'Data Entry Pump'!E9))</f>
        <v/>
      </c>
      <c r="F10" s="158" t="str">
        <f>IF($B$4=1,'Data Entry MDI'!F8,IF($B$4=2,'Data Entry Pump'!F9))</f>
        <v/>
      </c>
      <c r="G10" s="155" t="str">
        <f>IF($B$4=1,'Data Entry MDI'!G8,IF($B$4=2,'Data Entry Pump'!G9))</f>
        <v/>
      </c>
      <c r="H10" s="153" t="str">
        <f>IF($B$4=1,'Data Entry MDI'!H8,IF($B$4=2,'Data Entry Pump'!H9))</f>
        <v/>
      </c>
      <c r="I10" s="153" t="str">
        <f>IF($B$4=1,'Data Entry MDI'!I8,IF($B$4=2,'Data Entry Pump'!I9))</f>
        <v/>
      </c>
    </row>
    <row r="11" spans="1:9" ht="45" customHeight="1">
      <c r="A11" s="1" t="s">
        <v>1</v>
      </c>
      <c r="B11" s="24">
        <f>'DMF Data Entry'!C12</f>
        <v>1</v>
      </c>
      <c r="D11" s="156"/>
      <c r="E11" s="157"/>
      <c r="F11" s="158"/>
      <c r="G11" s="156"/>
      <c r="H11" s="154"/>
      <c r="I11" s="154"/>
    </row>
    <row r="12" spans="1:9" ht="30" customHeight="1">
      <c r="A12" s="1" t="s">
        <v>2</v>
      </c>
      <c r="B12" s="24">
        <f>'DMF Data Entry'!C13</f>
        <v>1</v>
      </c>
      <c r="E12" s="8"/>
      <c r="G12" s="151" t="s">
        <v>20</v>
      </c>
      <c r="H12" s="151"/>
      <c r="I12" s="151"/>
    </row>
    <row r="13" spans="1:9" ht="30" customHeight="1">
      <c r="A13" s="1" t="s">
        <v>3</v>
      </c>
      <c r="B13" s="24">
        <f>'DMF Data Entry'!C14</f>
        <v>1</v>
      </c>
      <c r="E13" s="8"/>
      <c r="G13" s="152" t="str">
        <f>IF($B$4=1,'Data Entry MDI'!G11,IF($B$4=2,'Data Entry Pump'!G12))</f>
        <v/>
      </c>
      <c r="H13" s="152"/>
      <c r="I13" s="152"/>
    </row>
    <row r="14" spans="1:9">
      <c r="G14" s="3" t="str">
        <f>IF($B$4=1,'Data Entry MDI'!G12,IF($B$4=2,'Data Entry Pump'!G13))</f>
        <v/>
      </c>
    </row>
    <row r="15" spans="1:9" hidden="1"/>
    <row r="16" spans="1:9" hidden="1"/>
    <row r="17" spans="1:1" hidden="1"/>
    <row r="18" spans="1:1" hidden="1"/>
    <row r="19" spans="1:1" hidden="1"/>
    <row r="20" spans="1:1" hidden="1"/>
    <row r="21" spans="1:1" hidden="1"/>
    <row r="22" spans="1:1" hidden="1">
      <c r="A22" s="3">
        <v>1</v>
      </c>
    </row>
    <row r="23" spans="1:1" hidden="1">
      <c r="A23" s="3">
        <v>2</v>
      </c>
    </row>
    <row r="24" spans="1:1" hidden="1">
      <c r="A24" s="3">
        <v>3</v>
      </c>
    </row>
    <row r="25" spans="1:1" hidden="1">
      <c r="A25" s="3">
        <v>4</v>
      </c>
    </row>
    <row r="26" spans="1:1" hidden="1">
      <c r="A26" s="3">
        <v>5</v>
      </c>
    </row>
    <row r="27" spans="1:1" hidden="1"/>
    <row r="28" spans="1:1" hidden="1"/>
    <row r="29" spans="1:1" hidden="1"/>
    <row r="30" spans="1:1" hidden="1"/>
  </sheetData>
  <mergeCells count="31">
    <mergeCell ref="G6:G7"/>
    <mergeCell ref="F6:F7"/>
    <mergeCell ref="E6:E7"/>
    <mergeCell ref="D6:D7"/>
    <mergeCell ref="I8:I9"/>
    <mergeCell ref="H8:H9"/>
    <mergeCell ref="G8:G9"/>
    <mergeCell ref="F8:F9"/>
    <mergeCell ref="E8:E9"/>
    <mergeCell ref="D8:D9"/>
    <mergeCell ref="D1:F1"/>
    <mergeCell ref="G1:I1"/>
    <mergeCell ref="D2:D3"/>
    <mergeCell ref="E2:F2"/>
    <mergeCell ref="G2:I2"/>
    <mergeCell ref="G12:I12"/>
    <mergeCell ref="G13:I13"/>
    <mergeCell ref="I4:I5"/>
    <mergeCell ref="D10:D11"/>
    <mergeCell ref="E10:E11"/>
    <mergeCell ref="F10:F11"/>
    <mergeCell ref="G10:G11"/>
    <mergeCell ref="H10:H11"/>
    <mergeCell ref="I10:I11"/>
    <mergeCell ref="D4:D5"/>
    <mergeCell ref="E4:E5"/>
    <mergeCell ref="F4:F5"/>
    <mergeCell ref="G4:G5"/>
    <mergeCell ref="H4:H5"/>
    <mergeCell ref="I6:I7"/>
    <mergeCell ref="H6:H7"/>
  </mergeCells>
  <dataValidations count="9">
    <dataValidation type="textLength" allowBlank="1" showInputMessage="1" showErrorMessage="1" promptTitle="Name" prompt="Enter name of the exerciser" sqref="B3">
      <formula1>0</formula1>
      <formula2>100</formula2>
    </dataValidation>
    <dataValidation type="decimal" showInputMessage="1" showErrorMessage="1" promptTitle="Weight (kg)" prompt="Enter weight in kilograms" sqref="B1">
      <formula1>1</formula1>
      <formula2>200</formula2>
    </dataValidation>
    <dataValidation type="textLength" allowBlank="1" showInputMessage="1" showErrorMessage="1" promptTitle="Activity name" prompt="Enter the name of your activity" sqref="B2">
      <formula1>0</formula1>
      <formula2>100</formula2>
    </dataValidation>
    <dataValidation type="list" showInputMessage="1" showErrorMessage="1" promptTitle="Minutes since last bolus" prompt="1 = 0 - 90 minutes&#10;High insulin action&#10;&#10;2 = 90 - 180 minutes&#10;Medium insulin action&#10;&#10;3 = more than 180 minutes&#10;Low insulin action" sqref="B10">
      <formula1>$A$22:$A$24</formula1>
    </dataValidation>
    <dataValidation type="whole" showInputMessage="1" showErrorMessage="1" promptTitle="Time in minutes of activity" prompt="Enter the duration of activity, between 1 and 300 minutes" sqref="B11">
      <formula1>1</formula1>
      <formula2>300</formula2>
    </dataValidation>
    <dataValidation type="list" showInputMessage="1" showErrorMessage="1" promptTitle="Intensityof activity" prompt="1 = Low: 3-5 out of 10&#10;RPE 7 - 11&#10;&#10;2 = Medium: 5-7 out of 10&#10;RPE 12 - 16&#10;&#10;3 = High: 5-7 out of 10&#10;RPE 16 - 20" sqref="B12">
      <formula1>$A$22:$A$24</formula1>
    </dataValidation>
    <dataValidation type="list" showInputMessage="1" showErrorMessage="1" promptTitle="Eating within 90 minutes after? " prompt="1 = Yes&#10;2 = No" sqref="B13">
      <formula1>$A$22:$A$23</formula1>
    </dataValidation>
    <dataValidation type="list" showInputMessage="1" showErrorMessage="1" promptTitle="Therapy type" prompt="1 = MDI&#10;2 = Pump" sqref="B4">
      <formula1>$A$22:$A$23</formula1>
    </dataValidation>
    <dataValidation type="list" showInputMessage="1" showErrorMessage="1" promptTitle="Minutes since last bolus" prompt="1 = Anaerobic (short &amp; sharp) e.g. weights, 800 meters&#10;&#10;2 = Intermittent (stop start) e.g. ball sports, circuit classes&#10;&#10;3 = Aerobic (continous/endurance) e.g. running, cycling" sqref="B5">
      <formula1>$A$22:$A$24</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1:I29"/>
  <sheetViews>
    <sheetView view="pageBreakPreview" topLeftCell="A2" zoomScale="80" zoomScaleNormal="60" zoomScaleSheetLayoutView="80" workbookViewId="0">
      <selection activeCell="B5" sqref="B5"/>
    </sheetView>
  </sheetViews>
  <sheetFormatPr defaultRowHeight="15"/>
  <cols>
    <col min="1" max="1" width="21" style="3" customWidth="1"/>
    <col min="2" max="2" width="15.140625" style="3" customWidth="1"/>
    <col min="3" max="3" width="5.7109375" style="3" customWidth="1"/>
    <col min="4" max="4" width="23.42578125" style="3" customWidth="1"/>
    <col min="5" max="5" width="5.28515625" style="3" customWidth="1"/>
    <col min="6" max="6" width="43.5703125" style="3" customWidth="1"/>
    <col min="7" max="7" width="61.85546875" style="3" customWidth="1"/>
    <col min="8" max="8" width="28.85546875" style="3" customWidth="1"/>
    <col min="9" max="9" width="28.28515625" style="3" customWidth="1"/>
    <col min="10" max="16384" width="9.140625" style="3"/>
  </cols>
  <sheetData>
    <row r="1" spans="1:9" ht="27.75" customHeight="1">
      <c r="A1" s="1" t="s">
        <v>12</v>
      </c>
      <c r="B1" s="9">
        <f>'Data Entry'!B1</f>
        <v>1</v>
      </c>
      <c r="D1" s="159" t="str">
        <f>B3</f>
        <v>John Pemberton</v>
      </c>
      <c r="E1" s="159"/>
      <c r="F1" s="159"/>
      <c r="G1" s="159" t="str">
        <f>B2</f>
        <v>Football Saturday and Sunday</v>
      </c>
      <c r="H1" s="159"/>
      <c r="I1" s="159"/>
    </row>
    <row r="2" spans="1:9" ht="44.25" customHeight="1">
      <c r="A2" s="1" t="s">
        <v>16</v>
      </c>
      <c r="B2" s="9" t="s">
        <v>30</v>
      </c>
      <c r="D2" s="160" t="s">
        <v>17</v>
      </c>
      <c r="E2" s="162" t="s">
        <v>18</v>
      </c>
      <c r="F2" s="162"/>
      <c r="G2" s="162" t="s">
        <v>19</v>
      </c>
      <c r="H2" s="162"/>
      <c r="I2" s="162"/>
    </row>
    <row r="3" spans="1:9" ht="66.75" customHeight="1">
      <c r="A3" s="1" t="s">
        <v>13</v>
      </c>
      <c r="B3" s="9" t="s">
        <v>31</v>
      </c>
      <c r="D3" s="161"/>
      <c r="E3" s="7" t="s">
        <v>8</v>
      </c>
      <c r="F3" s="7" t="s">
        <v>15</v>
      </c>
      <c r="G3" s="7" t="s">
        <v>9</v>
      </c>
      <c r="H3" s="7" t="s">
        <v>7</v>
      </c>
      <c r="I3" s="7" t="s">
        <v>25</v>
      </c>
    </row>
    <row r="4" spans="1:9" ht="39.75" customHeight="1">
      <c r="A4" s="22" t="s">
        <v>28</v>
      </c>
      <c r="B4" s="9">
        <f>'Data Entry'!B4</f>
        <v>1</v>
      </c>
      <c r="D4" s="155" t="str">
        <f>IF($B$9&gt;1,"",IF($B$9&lt;1,"",IF($B$5=1,'Pump Anaerobic (short &amp; sharp)'!E4:E5,IF($B$5=2,'Puimp Intermittent'!E5,IF($B$5=3,'Pump Aerobic (endurance)'!E5)))))</f>
        <v>Try usual bolus first but If blood glucose rises, try adding 10% to pre-activity bolus insulin next time</v>
      </c>
      <c r="E4" s="153" t="str">
        <f>IF($B$9&gt;1,"",IF($B$9&lt;1,"",IF($B$5=1,'Pump Anaerobic (short &amp; sharp)'!F4:F5,IF($B$5=2,'Puimp Intermittent'!F5,IF($B$5=3,'Pump Aerobic (endurance)'!F5)))))</f>
        <v/>
      </c>
      <c r="F4" s="155" t="str">
        <f>IF($B$9&gt;1,"",IF($B$9&lt;1,"",IF($B$5=1,'Pump Anaerobic (short &amp; sharp)'!G4:G5,IF($B$5=2,'Puimp Intermittent'!G5,IF($B$5=3,'Pump Aerobic (endurance)'!G5)))))</f>
        <v/>
      </c>
      <c r="G4" s="155" t="str">
        <f>IF($B$9&gt;1,"",IF($B$9&lt;1,"",IF($B$5=1,'Pump Anaerobic (short &amp; sharp)'!H4:H5,IF($B$5=2,'Puimp Intermittent'!H5,IF($B$5=3,'Pump Aerobic (endurance)'!H5)))))</f>
        <v/>
      </c>
      <c r="H4" s="155" t="str">
        <f>IF($B$9&gt;1,"",IF($B$9&lt;1,"",IF($B$5=1,'Pump Anaerobic (short &amp; sharp)'!I4:I5,IF($B$5=2,'Puimp Intermittent'!I5,IF($B$5=3,'Pump Aerobic (endurance)'!I5)))))</f>
        <v/>
      </c>
      <c r="I4" s="155" t="str">
        <f>IF($B$9&gt;1,"",IF($B$9&lt;1,"",IF($B$5=1,'Pump Anaerobic (short &amp; sharp)'!J4:J5,IF($B$5=2,'Puimp Intermittent'!J5,IF($B$5=3,'Pump Aerobic (endurance)'!J5)))))</f>
        <v/>
      </c>
    </row>
    <row r="5" spans="1:9" ht="39.75" customHeight="1">
      <c r="A5" s="23" t="s">
        <v>29</v>
      </c>
      <c r="B5" s="9">
        <f>'Data Entry'!B5</f>
        <v>1</v>
      </c>
      <c r="D5" s="156"/>
      <c r="E5" s="154"/>
      <c r="F5" s="156"/>
      <c r="G5" s="156"/>
      <c r="H5" s="156"/>
      <c r="I5" s="156"/>
    </row>
    <row r="6" spans="1:9" ht="55.5" customHeight="1">
      <c r="A6" s="27" t="s">
        <v>43</v>
      </c>
      <c r="B6" s="26">
        <f>'DMF Data Entry'!C7</f>
        <v>1</v>
      </c>
      <c r="D6" s="17" t="str">
        <f>IF($B$9&gt;1,"",IF($B$9&lt;1,"",IF($B$5=1,"",IF($B$5=2,'Puimp Intermittent'!E6,IF($B$5=3,'Pump Aerobic (endurance)'!E6)))))</f>
        <v/>
      </c>
      <c r="E6" s="16" t="str">
        <f>IF($B$9&gt;1,"",IF($B$9&lt;1,"",IF($B$5=1,"",IF($B$5=2,'Puimp Intermittent'!F6,IF($B$5=3,'Pump Aerobic (endurance)'!F6)))))</f>
        <v/>
      </c>
      <c r="F6" s="17" t="str">
        <f>IF($B$9&gt;1,"",IF($B$9&lt;1,"",IF($B$5=1,"",IF($B$5=2,'Puimp Intermittent'!G6,IF($B$5=3,'Pump Aerobic (endurance)'!G6)))))</f>
        <v/>
      </c>
      <c r="G6" s="17" t="str">
        <f>IF($B$9&gt;1,"",IF($B$9&lt;1,"",IF($B$5=1,"",IF($B$5=2,'Puimp Intermittent'!H6,IF($B$5=3,'Pump Aerobic (endurance)'!H6)))))</f>
        <v/>
      </c>
      <c r="H6" s="17" t="str">
        <f>IF($B$9&gt;1,"",IF($B$9&lt;1,"",IF($B$5=1,"",IF($B$5=2,'Puimp Intermittent'!I6,IF($B$5=3,'Pump Aerobic (endurance)'!I6)))))</f>
        <v/>
      </c>
      <c r="I6" s="17" t="str">
        <f>IF($B$9&gt;1,"",IF($B$9&lt;1,"",IF($B$5=1,"",IF($B$5=2,'Puimp Intermittent'!J6,IF($B$5=3,'Pump Aerobic (endurance)'!J6)))))</f>
        <v/>
      </c>
    </row>
    <row r="7" spans="1:9" ht="55.5" customHeight="1">
      <c r="A7" s="33"/>
      <c r="B7" s="26"/>
      <c r="D7" s="37" t="str">
        <f>IF($B$9&lt;2,"",IF($B$9=3,"",IF($B$5=1,'Pump Anaerobic (short &amp; sharp)'!E6,IF($B$5=2,'Puimp Intermittent'!E7,IF($B$5=3,'Pump Aerobic (endurance)'!E7)))))</f>
        <v/>
      </c>
      <c r="E7" s="36" t="str">
        <f>IF($B$9&lt;2,"",IF($B$9=3,"",IF($B$5=1,'Pump Anaerobic (short &amp; sharp)'!F6,IF($B$5=2,'Puimp Intermittent'!F7,IF($B$5=3,'Pump Aerobic (endurance)'!F7)))))</f>
        <v/>
      </c>
      <c r="F7" s="37" t="str">
        <f>IF($B$9&lt;2,"",IF($B$9=3,"",IF($B$5=1,'Pump Anaerobic (short &amp; sharp)'!G6,IF($B$5=2,'Puimp Intermittent'!G7,IF($B$5=3,'Pump Aerobic (endurance)'!G7)))))</f>
        <v/>
      </c>
      <c r="G7" s="37" t="str">
        <f>IF($B$9&lt;2,"",IF($B$9=3,"",IF($B$5=1,'Pump Anaerobic (short &amp; sharp)'!H6,IF($B$5=2,'Puimp Intermittent'!H7,IF($B$5=3,'Pump Aerobic (endurance)'!H7)))))</f>
        <v/>
      </c>
      <c r="H7" s="37" t="str">
        <f>IF($B$9&lt;2,"",IF($B$9=3,"",IF($B$5=1,'Pump Anaerobic (short &amp; sharp)'!I6,IF($B$5=2,'Puimp Intermittent'!I8,IF($B$5=3,'Pump Aerobic (endurance)'!I7)))))</f>
        <v/>
      </c>
      <c r="I7" s="37" t="str">
        <f>IF($B$9&lt;2,"",IF($B$9=3,"",IF($B$5=1,'Pump Anaerobic (short &amp; sharp)'!J6,IF($B$5=2,'Puimp Intermittent'!J7,IF($B$5=3,'Pump Aerobic (endurance)'!J7)))))</f>
        <v/>
      </c>
    </row>
    <row r="8" spans="1:9" ht="74.25" customHeight="1">
      <c r="A8" s="21"/>
      <c r="B8" s="21"/>
      <c r="D8" s="17" t="str">
        <f>IF($B$9&lt;2,"",IF($B$9=3,"",IF($B$5=1,'Pump Anaerobic (short &amp; sharp)'!E6,IF($B$5=2,'Puimp Intermittent'!E8,IF($B$5=3,'Pump Aerobic (endurance)'!E8)))))</f>
        <v/>
      </c>
      <c r="E8" s="16" t="str">
        <f>IF($B$9&lt;2,"",IF($B$9=3,"",IF($B$5=1,'Pump Anaerobic (short &amp; sharp)'!F6,IF($B$5=2,'Puimp Intermittent'!F8,IF($B$5=3,'Pump Aerobic (endurance)'!F8)))))</f>
        <v/>
      </c>
      <c r="F8" s="17" t="str">
        <f>IF($B$9&lt;2,"",IF($B$9=3,"",IF($B$5=1,'Pump Anaerobic (short &amp; sharp)'!G6,IF($B$5=2,'Puimp Intermittent'!G8,IF($B$5=3,'Pump Aerobic (endurance)'!G8)))))</f>
        <v/>
      </c>
      <c r="G8" s="17" t="str">
        <f>IF($B$9&lt;2,"",IF($B$9=3,"",IF($B$5=1,'Pump Anaerobic (short &amp; sharp)'!H6,IF($B$5=2,'Puimp Intermittent'!H8,IF($B$5=3,'Pump Aerobic (endurance)'!H8)))))</f>
        <v/>
      </c>
      <c r="H8" s="17" t="str">
        <f>IF($B$9&lt;2,"",IF($B$9=3,"",IF($B$5=1,'Pump Anaerobic (short &amp; sharp)'!I6,IF($B$5=2,'Puimp Intermittent'!I8,IF($B$5=3,'Pump Aerobic (endurance)'!I8)))))</f>
        <v/>
      </c>
      <c r="I8" s="17" t="str">
        <f>IF($B$9&lt;2,"",IF($B$9=3,"",IF($B$5=1,'Pump Anaerobic (short &amp; sharp)'!J6,IF($B$5=2,'Puimp Intermittent'!J8,IF($B$5=3,'Pump Aerobic (endurance)'!J8)))))</f>
        <v/>
      </c>
    </row>
    <row r="9" spans="1:9" ht="57" customHeight="1">
      <c r="A9" s="1" t="s">
        <v>0</v>
      </c>
      <c r="B9" s="9">
        <f>'Data Entry'!B10</f>
        <v>1</v>
      </c>
      <c r="D9" s="155" t="str">
        <f>IF($B$9&lt;3,"",IF($B$5=1,'Pump Anaerobic (short &amp; sharp)'!E8,IF($B$5=2,'Puimp Intermittent'!E9,IF($B$5=3,'Pump Aerobic (endurance)'!E9))))</f>
        <v/>
      </c>
      <c r="E9" s="157" t="str">
        <f>IF($B$9&lt;3,"",IF($B$5=1,'Pump Anaerobic (short &amp; sharp)'!F8,IF($B$5=2,'Puimp Intermittent'!F9,IF($B$5=3,'Pump Aerobic (endurance)'!F9))))</f>
        <v/>
      </c>
      <c r="F9" s="158" t="str">
        <f>IF($B$9&lt;3,"",IF($B$5=1,'Pump Anaerobic (short &amp; sharp)'!G8,IF($B$5=2,'Puimp Intermittent'!G9,IF($B$5=3,'Pump Aerobic (endurance)'!G9))))</f>
        <v/>
      </c>
      <c r="G9" s="155" t="str">
        <f>IF($B$9&lt;3,"",IF($B$5=1,'Pump Anaerobic (short &amp; sharp)'!H8,IF($B$5=2,'Puimp Intermittent'!H9,IF($B$5=3,'Pump Aerobic (endurance)'!H9))))</f>
        <v/>
      </c>
      <c r="H9" s="155" t="str">
        <f>IF($B$9&lt;3,"",IF($B$5=1,'Pump Anaerobic (short &amp; sharp)'!I8,IF($B$5=2,'Puimp Intermittent'!I9,IF($B$5=3,'Pump Aerobic (endurance)'!I9))))</f>
        <v/>
      </c>
      <c r="I9" s="155" t="str">
        <f>IF($B$9&lt;3,"",IF($B$5=1,'Pump Anaerobic (short &amp; sharp)'!J8,IF($B$5=2,'Puimp Intermittent'!J9,IF($B$5=3,'Pump Aerobic (endurance)'!J9))))</f>
        <v/>
      </c>
    </row>
    <row r="10" spans="1:9" ht="45" customHeight="1">
      <c r="A10" s="1" t="s">
        <v>1</v>
      </c>
      <c r="B10" s="9">
        <f>'Data Entry'!B11</f>
        <v>1</v>
      </c>
      <c r="D10" s="156"/>
      <c r="E10" s="157"/>
      <c r="F10" s="158"/>
      <c r="G10" s="156"/>
      <c r="H10" s="156"/>
      <c r="I10" s="156"/>
    </row>
    <row r="11" spans="1:9" ht="30" customHeight="1">
      <c r="A11" s="1" t="s">
        <v>2</v>
      </c>
      <c r="B11" s="9">
        <f>'Data Entry'!B12</f>
        <v>1</v>
      </c>
      <c r="E11" s="8"/>
      <c r="G11" s="151" t="s">
        <v>20</v>
      </c>
      <c r="H11" s="151"/>
      <c r="I11" s="151"/>
    </row>
    <row r="12" spans="1:9" ht="30" customHeight="1">
      <c r="A12" s="1" t="s">
        <v>3</v>
      </c>
      <c r="B12" s="9">
        <f>'Data Entry'!B13</f>
        <v>1</v>
      </c>
      <c r="E12" s="8"/>
      <c r="G12" s="152" t="str">
        <f>IF($B$10&lt;30,"",IF($B$11=1,"If BG 4-8mmol/l before bed have 5g of carbohydrate with 5g protein with no bolus insulin",IF($B$11=2,"If BG 4-8mmol/l before bed have 10g of carbohydrate with 10g protein with no bolus insulin",IF($B$11=3,"If BG 4-8mmol/l before bed have 15g of carbohydrate with 15g protein with no bolus insulin"))))</f>
        <v/>
      </c>
      <c r="H12" s="152"/>
      <c r="I12" s="152"/>
    </row>
    <row r="13" spans="1:9">
      <c r="G13" s="3" t="str">
        <f>IF($B$10&lt;30,"",IF($B$11=1,"If BG 4-8mmol/l before bed reduce basal rate by 10% overnight",IF($B$11=2,"If BG 4-8mmol/l before bed reduce basal rate by 20% overnight",IF($B$11=3,"If BG 4-8mmol/l before bed reduce basal rate by 30% overnight"))))</f>
        <v/>
      </c>
    </row>
    <row r="14" spans="1:9" hidden="1"/>
    <row r="15" spans="1:9" hidden="1"/>
    <row r="16" spans="1:9" hidden="1"/>
    <row r="17" spans="1:1" hidden="1"/>
    <row r="18" spans="1:1" hidden="1"/>
    <row r="19" spans="1:1" hidden="1"/>
    <row r="20" spans="1:1" hidden="1"/>
    <row r="21" spans="1:1" hidden="1">
      <c r="A21" s="3">
        <v>1</v>
      </c>
    </row>
    <row r="22" spans="1:1" hidden="1">
      <c r="A22" s="3">
        <v>2</v>
      </c>
    </row>
    <row r="23" spans="1:1" hidden="1">
      <c r="A23" s="3">
        <v>3</v>
      </c>
    </row>
    <row r="24" spans="1:1" hidden="1">
      <c r="A24" s="3">
        <v>4</v>
      </c>
    </row>
    <row r="25" spans="1:1" hidden="1">
      <c r="A25" s="3">
        <v>5</v>
      </c>
    </row>
    <row r="26" spans="1:1" hidden="1"/>
    <row r="27" spans="1:1" hidden="1"/>
    <row r="28" spans="1:1" hidden="1"/>
    <row r="29" spans="1:1" hidden="1"/>
  </sheetData>
  <mergeCells count="19">
    <mergeCell ref="D1:F1"/>
    <mergeCell ref="G1:I1"/>
    <mergeCell ref="D2:D3"/>
    <mergeCell ref="E2:F2"/>
    <mergeCell ref="G2:I2"/>
    <mergeCell ref="G11:I11"/>
    <mergeCell ref="G12:I12"/>
    <mergeCell ref="I4:I5"/>
    <mergeCell ref="D9:D10"/>
    <mergeCell ref="E9:E10"/>
    <mergeCell ref="F9:F10"/>
    <mergeCell ref="G9:G10"/>
    <mergeCell ref="H9:H10"/>
    <mergeCell ref="I9:I10"/>
    <mergeCell ref="D4:D5"/>
    <mergeCell ref="E4:E5"/>
    <mergeCell ref="F4:F5"/>
    <mergeCell ref="G4:G5"/>
    <mergeCell ref="H4:H5"/>
  </mergeCells>
  <dataValidations count="6">
    <dataValidation type="list" showInputMessage="1" showErrorMessage="1" promptTitle="Therapy type" prompt="1 = MDI&#10;2 = Pump" sqref="B4:B5">
      <formula1>$A$21:$A$22</formula1>
    </dataValidation>
    <dataValidation type="list" showInputMessage="1" showErrorMessage="1" promptTitle="Minutes since last bolus" prompt="1 = 0 - 90 minutes&#10;High insulin action&#10;&#10;2 = 90 - 180 minutes&#10;Medium insulin action&#10;&#10;3 = more than 180 minutes&#10;Low insulin action" sqref="B9:B12">
      <formula1>$A$21:$A$23</formula1>
    </dataValidation>
    <dataValidation type="textLength" allowBlank="1" showInputMessage="1" showErrorMessage="1" promptTitle="Activity name" prompt="Enter the name of your activity" sqref="B2">
      <formula1>0</formula1>
      <formula2>100</formula2>
    </dataValidation>
    <dataValidation type="decimal" showInputMessage="1" showErrorMessage="1" promptTitle="Weight (kg)" prompt="Enter weight in kilograms" sqref="B1">
      <formula1>1</formula1>
      <formula2>200</formula2>
    </dataValidation>
    <dataValidation type="textLength" allowBlank="1" showInputMessage="1" showErrorMessage="1" promptTitle="Name" prompt="Enter name of the exerciser" sqref="B3">
      <formula1>0</formula1>
      <formula2>100</formula2>
    </dataValidation>
    <dataValidation showDropDown="1" showErrorMessage="1" promptTitle="Extra carbs vs insulin reduction" prompt="&#10;1 = Preference for extra carbs &amp; when activity is unplanned&#10;&#10;2 = Preference for insulin reduction, less CHO but requires more planning" sqref="B6:B7"/>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J29"/>
  <sheetViews>
    <sheetView view="pageBreakPreview" topLeftCell="B4" zoomScaleNormal="60" zoomScaleSheetLayoutView="100" workbookViewId="0">
      <selection activeCell="G9" sqref="G9"/>
    </sheetView>
  </sheetViews>
  <sheetFormatPr defaultRowHeight="15"/>
  <cols>
    <col min="1" max="1" width="21" style="3" customWidth="1"/>
    <col min="2" max="2" width="18.5703125" style="3" customWidth="1"/>
    <col min="3" max="3" width="5.7109375" style="3" customWidth="1"/>
    <col min="4" max="4" width="23.85546875" style="3" customWidth="1"/>
    <col min="5" max="5" width="16" style="3" customWidth="1"/>
    <col min="6" max="6" width="9.28515625" style="3" customWidth="1"/>
    <col min="7" max="7" width="29.28515625" style="3" customWidth="1"/>
    <col min="8" max="8" width="61.85546875" style="3" customWidth="1"/>
    <col min="9" max="9" width="28.85546875" style="3" customWidth="1"/>
    <col min="10" max="10" width="28.28515625" style="3" customWidth="1"/>
    <col min="11" max="16384" width="9.140625" style="3"/>
  </cols>
  <sheetData>
    <row r="1" spans="1:10" ht="27.75" customHeight="1">
      <c r="A1" s="1" t="s">
        <v>12</v>
      </c>
      <c r="B1" s="9">
        <f>'Data Entry Pump'!B1</f>
        <v>1</v>
      </c>
      <c r="D1" s="159" t="s">
        <v>34</v>
      </c>
      <c r="E1" s="159"/>
      <c r="F1" s="18"/>
      <c r="G1" s="18">
        <f>B3</f>
        <v>0</v>
      </c>
      <c r="H1" s="159">
        <f>B2</f>
        <v>0</v>
      </c>
      <c r="I1" s="159"/>
      <c r="J1" s="159"/>
    </row>
    <row r="2" spans="1:10" ht="44.25" customHeight="1">
      <c r="A2" s="1" t="s">
        <v>16</v>
      </c>
      <c r="B2" s="9">
        <f>'DMF Data Entry'!C5</f>
        <v>0</v>
      </c>
      <c r="D2" s="19" t="s">
        <v>6</v>
      </c>
      <c r="E2" s="19" t="s">
        <v>17</v>
      </c>
      <c r="F2" s="162" t="s">
        <v>18</v>
      </c>
      <c r="G2" s="162"/>
      <c r="H2" s="162" t="s">
        <v>19</v>
      </c>
      <c r="I2" s="162"/>
      <c r="J2" s="162"/>
    </row>
    <row r="3" spans="1:10" ht="66.75" customHeight="1">
      <c r="A3" s="1" t="s">
        <v>13</v>
      </c>
      <c r="B3" s="9">
        <f>'DMF Data Entry'!C5</f>
        <v>0</v>
      </c>
      <c r="D3" s="7" t="s">
        <v>11</v>
      </c>
      <c r="E3" s="7" t="s">
        <v>10</v>
      </c>
      <c r="F3" s="12" t="s">
        <v>8</v>
      </c>
      <c r="G3" s="13" t="s">
        <v>15</v>
      </c>
      <c r="H3" s="7" t="s">
        <v>9</v>
      </c>
      <c r="I3" s="7" t="s">
        <v>7</v>
      </c>
      <c r="J3" s="7" t="s">
        <v>25</v>
      </c>
    </row>
    <row r="4" spans="1:10" ht="51" customHeight="1">
      <c r="A4" s="27"/>
      <c r="B4" s="26"/>
      <c r="D4" s="1"/>
      <c r="E4" s="17"/>
      <c r="F4" s="14"/>
      <c r="G4" s="15"/>
      <c r="H4" s="17"/>
      <c r="I4" s="1"/>
      <c r="J4" s="1"/>
    </row>
    <row r="5" spans="1:10" ht="48.75" customHeight="1">
      <c r="A5" s="27" t="s">
        <v>43</v>
      </c>
      <c r="B5" s="26">
        <f>'DMF Data Entry'!C7</f>
        <v>1</v>
      </c>
      <c r="D5" s="1" t="s">
        <v>27</v>
      </c>
      <c r="E5" s="17" t="str">
        <f>IF($B$9&gt;1,"",IF($B$9&lt;1,"",IF($B$10&lt;30.1, IF($B$11=1,"Deduct 25% off the bolus insulin before activity",IF($B$11=2,"Deduct 35% off the bolus insulin before activity",IF($B$11=3,"Deduct 50% off the bolus insulin before activity"))),IF($B$10&gt;30,IF($B$11=1,"Deduct 50% off the bolus insulin before activity",IF($B$11=2,"Deduct 65% off the bolus insulin before activity",IF($B$11=3,"Deduct 75% off the bolus insulin before activity")))))))</f>
        <v>Deduct 25% off the bolus insulin before activity</v>
      </c>
      <c r="F5" s="14" t="str">
        <f>IF($B$9&gt;1,"",IF($B$9&lt;1,"",IF($B$10&lt;61,"",IF($B$11=1,SUM(B1*0.2/60*($B$10-60)),IF($B$11=2,SUM(B1*0.4/60*($B$10-60)),IF($B$11=3,SUM(B1*0.6/60*($B$10-60))))))))</f>
        <v/>
      </c>
      <c r="G5" s="15" t="str">
        <f>IF($B$9&gt;1,"",IF($B$9&lt;1,"",IF($B$10&lt;61,"","grams carbohydrate starting AFTER 60 minutes, spread equally AFTER 60 mins")))</f>
        <v/>
      </c>
      <c r="H5" s="17" t="str">
        <f>IF($B$9&lt;1,"",IF($B$9&gt;1,"",IF($B$10&lt;30,"",IF(B12&gt;1,IF($B$11=1,IF($B$5=1," As you are not eating for 90 minutes try 10g carbohydrate without bolus insulin ","Option 1: Reduce basal rate by 20% for 2 hours to prevent after exercise hypoglycaemia.  Option 2: Do an all out 10 second sprint at maximum capacity instead of basal rate reduction"),IF($B$11=2,IF($B$5=1," As you are not eating for 90 minutes try 20g carbohydrate without bolus insulin ","Option 1: Reduce basal rate by 30% for 3 hours to prevent after exercise hypoglycaemia.  Option 2: Do an all out 10 second sprint at maximum capacity instead of basal rate reduction"),IF($B$11=3,IF($B$5=1," As you are not eating for 90 minutes try 30g carbohydrate without bolus insulin ","Reduce basal rate by 40% for 4 hours to prevent after exercise hypoglycaemia ")))),IF($B$11=1,"For recovery have a carbohydrate and protein meal consisting of the at least the minimum suggested. Deduct 15% off the calculated bolus dose to prevent delayed hypoglycaemia",IF($B$11=2,"For recovery have a carbohydrate and protein meal consisting of the at least the minimum suggested. Deduct 30% off the calculated bolus dose to prevent delayed hypoglycaemia",IF($B$11=3,"For recovery have a carbohydrate and protein meal consisting of the at least the minimum suggested. Deduct 50% off the calculated bolus dose to prevent delayed hypoglycaemia")))))))</f>
        <v/>
      </c>
      <c r="I5" s="17" t="str">
        <f>IF($B$9&gt;1,"",IF($B$9&lt;1,"",IF($B$10&lt;30,"",IF(B12&lt;1,"",IF(B12&gt;1,"",IF($B$9=1,IF($B$11=1,SUM(B1*0.5),IF($B$11=2,(B1*1),IF($B$11=3,(B1*1.5))))))))))</f>
        <v/>
      </c>
      <c r="J5" s="17" t="str">
        <f>IF($B$9&gt;1,"",IF($B$9&lt;1,"",IF($B$10&lt;30,"",IF(B12&lt;1,"",IF(B12&gt;1,"",IF($B$9=1,IF($B$11=1,SUM(B1*0.2),IF($B$11=2,(B1*0.3),IF($B$11=3,(B1*0.4))))))))))</f>
        <v/>
      </c>
    </row>
    <row r="6" spans="1:10" ht="55.5" customHeight="1">
      <c r="A6" s="27"/>
      <c r="B6" s="26"/>
      <c r="D6" s="1" t="s">
        <v>24</v>
      </c>
      <c r="E6" s="17" t="str">
        <f>IF($B$9&gt;1,"",IF($B$9&lt;1,"",IF($B$10&lt;1,"",IF($B$9=1,"Full insulin"))))</f>
        <v>Full insulin</v>
      </c>
      <c r="F6" s="14">
        <f>IF($B$9&gt;1,"",IF($B$9&lt;1,"",IF($B$10&lt;1,"",IF($B$9=1,IF($B$11=1,SUM(B1*0.5/60*$B$10/2),IF($B$11=2,SUM(B1*0.75/60*$B$10/2),IF($B$11=3,SUM(B1*1/60*$B$10/2))))))))</f>
        <v>4.1666666666666666E-3</v>
      </c>
      <c r="G6" s="15" t="str">
        <f>IF($B$9&gt;1,"",IF($B$9&lt;1,"",IF($B$10&lt;1,"",IF($B$9=1,IF($B$10&gt;0,"grams carbohydrate 10 minutes before start &amp; the same grams half way through or spread equally over the duration")))))</f>
        <v>grams carbohydrate 10 minutes before start &amp; the same grams half way through or spread equally over the duration</v>
      </c>
      <c r="H6" s="32" t="str">
        <f>IF($B$9&lt;1,"",IF($B$9&gt;1,"",IF($B$10&lt;30,"",IF(B12&gt;1,IF($B$11=1,IF($B$5=1," As you are not eating for 90 minutes try 10g carbohydrate without bolus insulin ","Option 1: Reduce basal rate by 20% for 2 hours to prevent after exercise hypoglycaemia.  Option 2: Do an all out 10 second sprint at maximum capacity instead of basal rate reduction"),IF($B$11=2,IF($B$5=1," As you are not eating for 90 minutes try 20g carbohydrate without bolus insulin ","Option 1: Reduce basal rate by 30% for 3 hours to prevent after exercise hypoglycaemia.  Option 2: Do an all out 10 second sprint at maximum capacity instead of basal rate reduction"),IF($B$11=3,IF($B$5=1," As you are not eating for 90 minutes try 30g carbohydrate without bolus insulin ","Reduce basal rate by 40% for 4 hours to prevent after exercise hypoglycaemia ")))),IF($B$11=1,"For recovery have a carbohydrate and protein meal consisting of the at least the minimum suggested. Deduct 15% off the calculated bolus dose to prevent delayed hypoglycaemia",IF($B$11=2,"For recovery have a carbohydrate and protein meal consisting of the at least the minimum suggested. Deduct 30% off the calculated bolus dose to prevent delayed hypoglycaemia",IF($B$11=3,"For recovery have a carbohydrate and protein meal consisting of the at least the minimum suggested. Deduct 50% off the calculated bolus dose to prevent delayed hypoglycaemia")))))))</f>
        <v/>
      </c>
      <c r="I6" s="17" t="str">
        <f>IF($B$9&gt;1,"",IF($B$9&lt;1,"",IF($B$10&lt;30,"",IF(B12&lt;1,"",IF(B12&gt;1,"",IF($B$9=1,IF($B$11=1,SUM(B1*0.5),IF($B$11=2,(B1*1),IF($B$11=3,(B1*1.5))))))))))</f>
        <v/>
      </c>
      <c r="J6" s="17" t="str">
        <f>IF($B$9&gt;1,"",IF($B$9&lt;1,"",IF($B$10&lt;30,"",IF(B12&lt;1,"",IF(B12&gt;1,"",IF($B$9=1,IF($B$11=1,SUM(B1*0.2),IF($B$11=2,(B1*0.3),IF($B$11=3,(B1*0.4))))))))))</f>
        <v/>
      </c>
    </row>
    <row r="7" spans="1:10" ht="55.5" customHeight="1">
      <c r="A7" s="33"/>
      <c r="B7" s="26"/>
      <c r="D7" s="35"/>
      <c r="E7" s="37" t="str">
        <f>IF($B$9&lt;2,"",IF($B$9=3,"",IF($B$9=2,"Full insulin")))</f>
        <v/>
      </c>
      <c r="F7" s="14" t="str">
        <f>IF($B$9&lt;2,"",IF($B$9&gt;2,"",IF($B$11=1,SUM(B1*0.2/60*$B$10/2),IF($B$11=2,SUM(B1*0.3/60*$B$10/2),IF($B$11=3,SUM(B1*0.4/60*$B$10/2))))))</f>
        <v/>
      </c>
      <c r="G7" s="15" t="str">
        <f>IF($B$9&lt;2,"",IF($B$9=3,"",IF($B$9=2,IF($B$10&gt;0,IF($B$11=1,"Reduce basal by 40% ninety minutes before the activity and have the suggested grams carbohydrate 10 minutes before start &amp; the same grams half way through or spread equally over the duration",IF($B$11=2,"Reduce basal by 60% ninety minutes before the activity and have the suggested grams carbohydrate 10 minutes before start &amp; the same grams half way through or spread equally over the duration",IF($B$11=3,"Reduce basal by 80% ninety minutes before the activity and have the suggested grams carbohydrate 10 minutes before start &amp; the same grams half way through or spread equally over the duration")))))))</f>
        <v/>
      </c>
      <c r="H7" s="37" t="str">
        <f>IF($B$9&lt;2,"",IF($B$9&gt;2,"",IF($B$10&lt;30,"",IF(B12&gt;1,IF($B$11=1,IF($B$5=1," As you are not eating for 90 minutes try 10g carbohydrate without bolus insulin ","Option 1: Reduce basal rate by 20% for 2 hours to prevent after exercise hypoglycaemia.  Option 2: Do an all out 10 second sprint at maximum capacity instead of basal rate reduction"),IF($B$11=2,IF($B$5=1," As you are not eating for 90 minutes try 20g carbohydrate without bolus insulin ","Option 1: Reduce basal rate by 30% for 3 hours to prevent after exercise hypoglycaemia.  Option 2: Do an all out 10 second sprint at maximum capacity instead of basal rate reduction"),IF($B$11=3,IF($B$5=1," As you are not eating for 90 minutes try 30g carbohydrate without bolus insulin ","Reduce basal rate by 40% for 4 hours to prevent after exercise hypoglycaemia ")))),IF($B$11=1,"For recovery have a carbohydrate and protein meal consisting of the at least the minimum suggested. Deduct 15% off the calculated bolus dose to prevent delayed hypoglycaemia",IF($B$11=2,"For recovery have a carbohydrate and protein meal consisting of the at least the minimum suggested. Deduct 30% off the calculated bolus dose to prevent delayed hypoglycaemia",IF($B$11=3,"For recovery have a carbohydrate and protein meal consisting of the at least the minimum suggested. Deduct 50% off the calculated bolus dose to prevent delayed hypoglycaemia")))))))</f>
        <v/>
      </c>
      <c r="I7" s="37" t="str">
        <f>IF($B$9&gt;2,"",IF($B$9&lt;2,"",IF($B$10&lt;30,"",IF(B12&lt;1,"",IF(B12&gt;1,"",IF($B$11=1,SUM(B1*0.5),IF($B$11=2,(B1*1),IF($B$11=3,(B1*1.5)))))))))</f>
        <v/>
      </c>
      <c r="J7" s="37" t="str">
        <f>IF($B$9&gt;2,"",IF($B$9&lt;2,"",IF($B$10&lt;30,"",IF(B12&lt;1,"",IF(B12&gt;1,"",IF($B$11=1,SUM(B1*0.2),IF($B$11=2,(B1*0.3),IF($B$11=3,(B1*0.4)))))))))</f>
        <v/>
      </c>
    </row>
    <row r="8" spans="1:10" ht="54.75" customHeight="1">
      <c r="A8" s="27"/>
      <c r="B8" s="26"/>
      <c r="D8" s="1" t="s">
        <v>4</v>
      </c>
      <c r="E8" s="17" t="str">
        <f>IF($B$9&lt;2,"",IF($B$9=3,"",IF($B$9=2,"Full insulin")))</f>
        <v/>
      </c>
      <c r="F8" s="14" t="str">
        <f>IF($B$9&lt;2,"",IF($B$9&gt;2,"",IF($B$11=1,SUM(B1*0.4/60*$B$10/2),IF($B$11=2,SUM(B1*0.6/60*$B$10/2),IF($B$11=3,SUM(B1*0.8/60*$B$10/2))))))</f>
        <v/>
      </c>
      <c r="G8" s="15" t="str">
        <f>IF($B$9&lt;2,"",IF($B$9=3,"",IF($B$9=2,IF($B$10&gt;0,"grams carbohydrate 10 minutes before start &amp; the same grams half way through or spread equally over the duration"))))</f>
        <v/>
      </c>
      <c r="H8" s="17" t="str">
        <f>IF($B$9&lt;2,"",IF($B$9&gt;2,"",IF($B$10&lt;30,"",IF(B12&gt;1,IF($B$11=1,IF($B$5=1," As you are not eating for 90 minutes try 10g carbohydrate without bolus insulin ","Option 1: Reduce basal rate by 20% for 2 hours to prevent after exercise hypoglycaemia.  Option 2: Do an all out 10 second sprint at maximum capacity instead of basal rate reduction"),IF($B$11=2,IF($B$5=1," As you are not eating for 90 minutes try 20g carbohydrate without bolus insulin ","Option 1: Reduce basal rate by 30% for 3 hours to prevent after exercise hypoglycaemia.  Option 2: Do an all out 10 second sprint at maximum capacity instead of basal rate reduction"),IF($B$11=3,IF($B$5=1," As you are not eating for 90 minutes try 30g carbohydrate without bolus insulin ","Reduce basal rate by 40% for 4 hours to prevent after exercise hypoglycaemia ")))),IF($B$11=1,"For recovery have a carbohydrate and protein meal consisting of the at least the minimum suggested. Deduct 15% off the calculated bolus dose to prevent delayed hypoglycaemia",IF($B$11=2,"For recovery have a carbohydrate and protein meal consisting of the at least the minimum suggested. Deduct 30% off the calculated bolus dose to prevent delayed hypoglycaemia",IF($B$11=3,"For recovery have a carbohydrate and protein meal consisting of the at least the minimum suggested. Deduct 50% off the calculated bolus dose to prevent delayed hypoglycaemia")))))))</f>
        <v/>
      </c>
      <c r="I8" s="17" t="str">
        <f>IF($B$9&gt;2,"",IF($B$9&lt;2,"",IF($B$10&lt;30,"",IF(B12&lt;1,"",IF(B12&gt;1,"",IF($B$11=1,SUM(B1*0.5),IF($B$11=2,(B1*1),IF($B$11=3,(B1*1.5)))))))))</f>
        <v/>
      </c>
      <c r="J8" s="17" t="str">
        <f>IF($B$9&gt;2,"",IF($B$9&lt;2,"",IF($B$10&lt;30,"",IF(B12&lt;1,"",IF(B12&gt;1,"",IF($B$11=1,SUM(B1*0.2),IF($B$11=2,(B1*0.3),IF($B$11=3,(B1*0.4)))))))))</f>
        <v/>
      </c>
    </row>
    <row r="9" spans="1:10" ht="57" customHeight="1">
      <c r="A9" s="1" t="s">
        <v>0</v>
      </c>
      <c r="B9" s="9">
        <f>'Data Entry Pump'!B9</f>
        <v>1</v>
      </c>
      <c r="D9" s="1" t="s">
        <v>5</v>
      </c>
      <c r="E9" s="17" t="str">
        <f>IF($B$9&lt;3,"",IF($B$9=3,"Full insulin"))</f>
        <v/>
      </c>
      <c r="F9" s="14" t="str">
        <f>IF($B$9&lt;3,"",IF($B$11=1,IF($B$5=1,SUM(B1*0.2/60*$B$10/2),""),IF($B$11=2,IF($B$5=1,SUM(B1*0.4/60*$B$10/2),""),IF($B$11=3,IF($B$5=1,SUM(B1*0.6/60*$B$10/2),"")))))</f>
        <v/>
      </c>
      <c r="G9" s="15" t="str">
        <f>IF($B$9&lt;3,"",IF($B$11=1,IF($B$5=1,"grams carbohydrate 10 minutes before start &amp; the same grams half way through or spread equally over the duration","Reduce basal by 40% ninety minutes before activity"),IF($B$11=2,IF($B$5=1,"grams carbohydrate 10 minutes before start &amp; the same grams half way through or spread equally over the duration","Reduce basal by 60% ninety minutes before activity"),IF($B$11=3,IF($B$5=1,"grams carbohydrate 10 minutes before start &amp; the same grams half way through or spread equally over the duration","Reduce basal by 80% ninety minutes before activity")))))</f>
        <v/>
      </c>
      <c r="H9" s="20" t="str">
        <f>IF($B$9&lt;3,"",IF($B$9&gt;3,"",IF($B$10&lt;30,"",IF(B12&gt;1,IF($B$11=1,IF($B$5=1," As you are not eating for 90 minutes try 10g carbohydrate without bolus insulin ","Option 1: Reduce basal rate by 20% for 2 hours to prevent after exercise hypoglycaemia.  Option 2: Do an all out 10 second sprint at maximum capacity instead of basal rate reduction"),IF($B$11=2,IF($B$5=1," As you are not eating for 90 minutes try 20g carbohydrate without bolus insulin ","Option 1: Reduce basal rate by 30% for 3 hours to prevent after exercise hypoglycaemia.  Option 2: Do an all out 10 second sprint at maximum capacity instead of basal rate reduction"),IF($B$11=3,IF($B$5=1," As you are not eating for 90 minutes try 30g carbohydrate without bolus insulin ","Reduce basal rate by 40% for 4 hours to prevent after exercise hypoglycaemia ")))),IF($B$11=1,"For recovery have a carbohydrate and protein meal consisting of the at least the minimum suggested. Deduct 15% off the calculated bolus dose to prevent delayed hypoglycaemia",IF($B$11=2,"For recovery have a carbohydrate and protein meal consisting of the at least the minimum suggested. Deduct 30% off the calculated bolus dose to prevent delayed hypoglycaemia",IF($B$11=3,"For recovery have a carbohydrate and protein meal consisting of the at least the minimum suggested. Deduct 50% off the calculated bolus dose to prevent delayed hypoglycaemia")))))))</f>
        <v/>
      </c>
      <c r="I9" s="17" t="str">
        <f>IF($B$9&lt;3,"",IF($B$10&lt;30,"",IF(B12&lt;1,"",IF(B12&gt;1,"",IF($B$11=1,SUM(B1*0.5),IF($B$11=2,(B1*1),IF($B$11=3,(B1*1.5))))))))</f>
        <v/>
      </c>
      <c r="J9" s="17" t="str">
        <f>IF($B$9&lt;3,"",IF($B$10&lt;30,"",IF(B12&lt;1,"",IF(B12&gt;1,"",IF($B$11=1,SUM(B1*0.2),IF($B$11=2,(B1*0.3),IF($B$11=3,(B1*0.4))))))))</f>
        <v/>
      </c>
    </row>
    <row r="10" spans="1:10" ht="36.75" customHeight="1">
      <c r="A10" s="1" t="s">
        <v>1</v>
      </c>
      <c r="B10" s="9">
        <f>'Data Entry Pump'!B10</f>
        <v>1</v>
      </c>
      <c r="F10" s="8"/>
      <c r="H10" s="164" t="s">
        <v>20</v>
      </c>
      <c r="I10" s="164"/>
      <c r="J10" s="164"/>
    </row>
    <row r="11" spans="1:10" ht="30" customHeight="1">
      <c r="A11" s="1" t="s">
        <v>2</v>
      </c>
      <c r="B11" s="9">
        <f>'DMF Data Entry'!C13</f>
        <v>1</v>
      </c>
      <c r="F11" s="8"/>
      <c r="H11" s="163" t="str">
        <f>IF($B$10&lt;30,"",IF($B$11=1,"Try 10g of carbohydrate with 5g protein with no bolus insulin before bed OR reduce basal by 10% overnight",IF($B$11=2,"Try 20g of carbohydrate and 10g protein with no bolus insulin before bed OR reduce basal by 20% overnight",IF($B$11=3,"Try 30g of carbohydrate and 15g protein with no bolus insulin before bed OR reduce basal by 30% overnight"))))</f>
        <v/>
      </c>
      <c r="I11" s="163"/>
      <c r="J11" s="163"/>
    </row>
    <row r="12" spans="1:10" ht="30" customHeight="1">
      <c r="A12" s="1" t="s">
        <v>3</v>
      </c>
      <c r="B12" s="9">
        <f>'DMF Data Entry'!C14</f>
        <v>1</v>
      </c>
      <c r="F12" s="8"/>
      <c r="H12" s="163"/>
      <c r="I12" s="163"/>
      <c r="J12" s="163"/>
    </row>
    <row r="14" spans="1:10" hidden="1"/>
    <row r="15" spans="1:10" hidden="1"/>
    <row r="16" spans="1:10" hidden="1"/>
    <row r="17" spans="1:1" hidden="1"/>
    <row r="18" spans="1:1" hidden="1"/>
    <row r="19" spans="1:1" hidden="1"/>
    <row r="20" spans="1:1" hidden="1"/>
    <row r="21" spans="1:1" hidden="1">
      <c r="A21" s="3">
        <v>1</v>
      </c>
    </row>
    <row r="22" spans="1:1" hidden="1">
      <c r="A22" s="3">
        <v>2</v>
      </c>
    </row>
    <row r="23" spans="1:1" hidden="1">
      <c r="A23" s="3">
        <v>3</v>
      </c>
    </row>
    <row r="24" spans="1:1" hidden="1">
      <c r="A24" s="3">
        <v>4</v>
      </c>
    </row>
    <row r="25" spans="1:1" hidden="1">
      <c r="A25" s="3">
        <v>5</v>
      </c>
    </row>
    <row r="26" spans="1:1" hidden="1"/>
    <row r="27" spans="1:1" hidden="1"/>
    <row r="28" spans="1:1" hidden="1"/>
    <row r="29" spans="1:1" hidden="1"/>
  </sheetData>
  <mergeCells count="6">
    <mergeCell ref="H11:J12"/>
    <mergeCell ref="F2:G2"/>
    <mergeCell ref="H2:J2"/>
    <mergeCell ref="D1:E1"/>
    <mergeCell ref="H1:J1"/>
    <mergeCell ref="H10:J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dimension ref="A1:J29"/>
  <sheetViews>
    <sheetView view="pageBreakPreview" topLeftCell="B2" zoomScaleNormal="60" zoomScaleSheetLayoutView="100" workbookViewId="0">
      <selection activeCell="E5" sqref="E5"/>
    </sheetView>
  </sheetViews>
  <sheetFormatPr defaultRowHeight="15"/>
  <cols>
    <col min="1" max="1" width="21" style="3" customWidth="1"/>
    <col min="2" max="2" width="18.5703125" style="3" customWidth="1"/>
    <col min="3" max="3" width="5.7109375" style="3" customWidth="1"/>
    <col min="4" max="4" width="23.85546875" style="3" customWidth="1"/>
    <col min="5" max="5" width="16" style="3" customWidth="1"/>
    <col min="6" max="6" width="7.85546875" style="3" customWidth="1"/>
    <col min="7" max="7" width="29.28515625" style="3" customWidth="1"/>
    <col min="8" max="8" width="61.85546875" style="3" customWidth="1"/>
    <col min="9" max="9" width="28.85546875" style="3" customWidth="1"/>
    <col min="10" max="10" width="28.28515625" style="3" customWidth="1"/>
    <col min="11" max="16384" width="9.140625" style="3"/>
  </cols>
  <sheetData>
    <row r="1" spans="1:10" ht="27.75" customHeight="1">
      <c r="A1" s="1" t="s">
        <v>12</v>
      </c>
      <c r="B1" s="9">
        <f>'Data Entry Pump'!B1</f>
        <v>1</v>
      </c>
      <c r="D1" s="159" t="s">
        <v>33</v>
      </c>
      <c r="E1" s="159"/>
      <c r="F1" s="18"/>
      <c r="G1" s="18">
        <f>B3</f>
        <v>0</v>
      </c>
      <c r="H1" s="159">
        <f>B2</f>
        <v>0</v>
      </c>
      <c r="I1" s="159"/>
      <c r="J1" s="159"/>
    </row>
    <row r="2" spans="1:10" ht="44.25" customHeight="1">
      <c r="A2" s="1" t="s">
        <v>16</v>
      </c>
      <c r="B2" s="9"/>
      <c r="D2" s="19" t="s">
        <v>6</v>
      </c>
      <c r="E2" s="19" t="s">
        <v>17</v>
      </c>
      <c r="F2" s="162" t="s">
        <v>18</v>
      </c>
      <c r="G2" s="162"/>
      <c r="H2" s="162" t="s">
        <v>19</v>
      </c>
      <c r="I2" s="162"/>
      <c r="J2" s="162"/>
    </row>
    <row r="3" spans="1:10" ht="66.75" customHeight="1">
      <c r="A3" s="1" t="s">
        <v>13</v>
      </c>
      <c r="B3" s="9"/>
      <c r="D3" s="7" t="s">
        <v>11</v>
      </c>
      <c r="E3" s="7" t="s">
        <v>10</v>
      </c>
      <c r="F3" s="12" t="s">
        <v>8</v>
      </c>
      <c r="G3" s="13" t="s">
        <v>15</v>
      </c>
      <c r="H3" s="7" t="s">
        <v>9</v>
      </c>
      <c r="I3" s="7" t="s">
        <v>7</v>
      </c>
      <c r="J3" s="7" t="s">
        <v>25</v>
      </c>
    </row>
    <row r="4" spans="1:10" ht="51" customHeight="1">
      <c r="A4" s="29"/>
      <c r="B4" s="30"/>
      <c r="D4" s="1"/>
      <c r="E4" s="17"/>
      <c r="F4" s="14"/>
      <c r="G4" s="15"/>
      <c r="H4" s="17"/>
      <c r="I4" s="1"/>
      <c r="J4" s="1"/>
    </row>
    <row r="5" spans="1:10" ht="48.75" customHeight="1">
      <c r="A5" s="27" t="s">
        <v>43</v>
      </c>
      <c r="B5" s="26">
        <f>'DMF Data Entry'!C7</f>
        <v>1</v>
      </c>
      <c r="D5" s="1" t="s">
        <v>27</v>
      </c>
      <c r="E5" s="17" t="str">
        <f>IF($B$9&gt;1,"",IF($B$9&lt;1,"",IF($B$10&lt;30.1, IF($B$11=1,"Deduct 35% off the bolus insulin before activity",IF($B$11=2,"Deduct 25% off the bolus insulin before activity",IF($B$11=3,"Deduct 15% off the bolus insulin before activity"))),IF($B$10&gt;30,IF($B$11=1,"Deduct 45% off the bolus insulin before activity",IF($B$11=2,"Deduct 35% off the bolus insulin before activity",IF($B$11=3,"Deduct 25% off the bolus insulin before activity")))))))</f>
        <v>Deduct 35% off the bolus insulin before activity</v>
      </c>
      <c r="F5" s="14" t="str">
        <f>IF($B$9&gt;1,"",IF($B$9&lt;1,"",IF($B$10&lt;61,"",IF($B$11=1,SUM(B1*0.3/60*($B$10-60)),IF($B$11=2,SUM(B1*0.2/60*($B$10-60)),IF($B$11=3,SUM(B1*0.1/60*($B$10-60))))))))</f>
        <v/>
      </c>
      <c r="G5" s="15" t="str">
        <f>IF($B$9&gt;1,"",IF($B$9&lt;1,"",IF($B$10&lt;61,"","grams carbohydrate starting AFTER 60 minutes, spread equally AFTER 60 mins")))</f>
        <v/>
      </c>
      <c r="H5" s="28" t="str">
        <f>IF($B$9&lt;1,"",IF($B$9&gt;1,"",IF($B$10&lt;30,"",IF(B12&gt;1,IF($B$11=1,IF($B$5=1," As you are not eating for 90 minutes try 10g carbohydrate without bolus insulin ","Option 1: Reduce basal rate by 20% for 2 hours to prevent after exercise hypoglycaemia.  Option 2: Do an all out 10 second sprint at maximum capacity instead of basal rate reduction "),IF($B$11=2,IF($B$5=1," As you are not eating for 90 minutes try 20g carbohydrate without bolus insulin ","Option 1: Reduce basal rate by 30% for 3 hours to prevent after exercise hypoglycaemia.  Option 2: Do an all out 10 second sprint at maximum capacity instead of basal rate reduction"),IF($B$11=3,IF($B$5=1," As you are not eating for 90 minutes try 30g carbohydrate without bolus insulin ","Option 1: Reduce basal rate by 40% for 4 hours to prevent after exercise hypoglycaemia.  Option 2: Do an all out 10 second sprint at maximum capacity instead of basal rate reduction")))),IF($B$11=1,"For recovery have a carbohydrate and protein meal consisting of the at least the minimum suggested. Deduct 15% off the calculated bolus dose to prevent delayed hypoglycaemia",IF($B$11=2,"For recovery have a carbohydrate and protein meal consisting of the at least the minimum suggested. Deduct 30% off the calculated bolus dose to prevent delayed hypoglycaemia",IF($B$11=3,"For recovery have a carbohydrate and protein meal consisting of the at least the minimum suggested. Deduct 50% off the calculated bolus dose to prevent delayed hypoglycaemia")))))))</f>
        <v/>
      </c>
      <c r="I5" s="17" t="str">
        <f>IF($B$9&gt;1,"",IF($B$9&lt;1,"",IF($B$10&lt;30,"",IF(B12&lt;1,"",IF(B12&gt;1,"",IF($B$9=1,IF($B$11=1,SUM(B1*0.5),IF($B$11=2,(B1*1),IF($B$11=3,(B1*1.5))))))))))</f>
        <v/>
      </c>
      <c r="J5" s="17" t="str">
        <f>IF($B$9&gt;1,"",IF($B$9&lt;1,"",IF($B$10&lt;30,"",IF(B12&lt;1,"",IF(B12&gt;1,"",IF($B$9=1,IF($B$11=1,SUM(B1*0.2),IF($B$11=2,(B1*0.3),IF($B$11=3,(B1*0.4))))))))))</f>
        <v/>
      </c>
    </row>
    <row r="6" spans="1:10" ht="55.5" customHeight="1">
      <c r="A6" s="20"/>
      <c r="B6" s="20"/>
      <c r="D6" s="1" t="s">
        <v>24</v>
      </c>
      <c r="E6" s="17" t="str">
        <f>IF($B$9&gt;1,"",IF($B$9&lt;1,"",IF($B$10&lt;1,"",IF($B$9=1,"Full insulin"))))</f>
        <v>Full insulin</v>
      </c>
      <c r="F6" s="14">
        <f>IF($B$9&gt;1,"",IF($B$9&lt;1,"",IF($B$10&lt;1,"",IF($B$9=1,IF($B$11=1,SUM(B1*0.75/60*$B$10/2),IF($B$11=2,SUM(B1*0.5/60*$B$10/2),IF($B$11=3,SUM(B1*0.3/60*$B$10/2))))))))</f>
        <v>6.2500000000000003E-3</v>
      </c>
      <c r="G6" s="15" t="str">
        <f>IF($B$9&gt;1,"",IF($B$9&lt;1,"",IF($B$10&lt;1,"",IF($B$9=1,IF($B$10&gt;0,"grams carbohydrate 10 minutes before start &amp; the same grams half way through or spread equally over the duration")))))</f>
        <v>grams carbohydrate 10 minutes before start &amp; the same grams half way through or spread equally over the duration</v>
      </c>
      <c r="H6" s="28" t="str">
        <f>IF($B$9&lt;1,"",IF($B$9&gt;1,"",IF($B$10&lt;30,"",IF(B12&gt;1,IF($B$11=1,IF($B$5=1," As you are not eating for 90 minutes try 10g carbohydrate without bolus insulin ","Option 1: Reduce basal rate by 20% for 2 hours to prevent after exercise hypoglycaemia.  Option 2: Do an all out 10 second sprint at maximum capacity instead of basal rate reduction "),IF($B$11=2,IF($B$5=1," As you are not eating for 90 minutes try 20g carbohydrate without bolus insulin ","Option 1: Reduce basal rate by 30% for 3 hours to prevent after exercise hypoglycaemia.  Option 2: Do an all out 10 second sprint at maximum capacity instead of basal rate reduction "),IF($B$11=3,IF($B$5=1," As you are not eating for 90 minutes try 30g carbohydrate without bolus insulin ","Option 1: Reduce basal rate by 40% for 4 hours to prevent after exercise hypoglycaemia.  Option 2: Do an all out 10 second sprint at maximum capacity instead of basal rate reduction")))),IF($B$11=1,"For recovery have a carbohydrate and protein meal consisting of the at least the minimum suggested. Deduct 10% off the calculated bolus dose to prevent delayed hypoglycaemia",IF($B$11=2,"For recovery have a carbohydrate and protein meal consisting of the at least the minimum suggested. Deduct 20% off the calculated bolus dose to prevent delayed hypoglycaemia",IF($B$11=3,"For recovery have a carbohydrate and protein meal consisting of the at least the minimum suggested. Deduct 30% off the calculated bolus dose to prevent delayed hypoglycaemia")))))))</f>
        <v/>
      </c>
      <c r="I6" s="17" t="str">
        <f>IF($B$9&gt;1,"",IF($B$9&lt;1,"",IF($B$10&lt;30,"",IF(B12&lt;1,"",IF(B12&gt;1,"",IF($B$9=1,IF($B$11=1,SUM(B1*0.5),IF($B$11=2,(B1*1),IF($B$11=3,(B1*1.5))))))))))</f>
        <v/>
      </c>
      <c r="J6" s="17" t="str">
        <f>IF($B$9&gt;1,"",IF($B$9&lt;1,"",IF($B$10&lt;30,"",IF(B12&lt;1,"",IF(B12&gt;1,"",IF($B$9=1,IF($B$11=1,SUM(B1*0.2),IF($B$11=2,(B1*0.3),IF($B$11=3,(B1*0.4))))))))))</f>
        <v/>
      </c>
    </row>
    <row r="7" spans="1:10" ht="55.5" customHeight="1">
      <c r="A7" s="20"/>
      <c r="B7" s="20"/>
      <c r="D7" s="35" t="s">
        <v>4</v>
      </c>
      <c r="E7" s="37" t="str">
        <f>IF($B$9&lt;2,"",IF($B$9=3,"",IF($B$9=2,"Full insulin")))</f>
        <v/>
      </c>
      <c r="F7" s="14" t="str">
        <f>IF($B$9&lt;2,"",IF($B$9&gt;2,"",IF($B$11=1,SUM(B1*0.3/60*$B$10/2),IF($B$11=2,SUM(B1*0.2/60*$B$10/2),IF($B$11=3,SUM(B1*0.1/60*$B$10/2))))))</f>
        <v/>
      </c>
      <c r="G7" s="15" t="str">
        <f>IF($B$9&lt;2,"",IF($B$9=3,"",IF($B$9=2,IF($B$10&gt;0,IF($B$11=1,"Reduce basal by 40% ninety minutes before the activity and have the suggested grams carbohydrate 10 minutes before start &amp; the same grams half way through or spread equally over the duration",IF($B$11=2,"Reduce basal by 30% ninety minutes before the activity and have the suggested grams carbohydrate 10 minutes before start &amp; the same grams half way through or spread equally over the duration",IF($B$11=3,"Reduce basal by 20% ninety minutes before the activity and have the suggested grams carbohydrate 10 minutes before start &amp; the same grams half way through or spread equally over the duration")))))))</f>
        <v/>
      </c>
      <c r="H7" s="37" t="str">
        <f>IF($B$9&lt;2,"",IF($B$9&gt;2,"",IF($B$10&lt;30,"",IF(B12&gt;1,IF($B$11=1,IF($B$5=1," As you are not eating for 90 minutes try 10g carbohydrate without bolus insulin ","Option 1: Reduce basal rate by 20% for 2 hours to prevent after exercise hypoglycaemia.  Option 2: Do an all out 10 second sprint at maximum capacity instead of basal rate reduction"),IF($B$11=2,IF($B$5=1," As you are not eating for 90 minutes try 20g carbohydrate without bolus insulin ","Option1: Reduce basal rate by 30% for 3 hours to prevent after exercise hypoglycaemia. Option 2: Do an all out 10 second sprint at maximum capacity instead of basal rate reduction"),IF($B$11=3,IF($B$5=1," As you are not eating for 90 minutes try 30g carbohydrate without bolus insulin ","Option1: Reduce basal rate by 40% for 4 hours to prevent after exercise hypoglycaemia. Option 2: Do an all out 10 second sprint at maximum capacity instead of basal rate reduction.")))),IF($B$11=1,"For recovery have a carbohydrate and protein meal consisting of the at least the minimum suggested. Deduct 15% off the calculated bolus dose to prevent delayed hypoglycaemia",IF($B$11=2,"For recovery have a carbohydrate and protein meal consisting of the at least the minimum suggested. Deduct 30% off the calculated bolus dose to prevent delayed hypoglycaemia",IF($B$11=3,"For recovery have a carbohydrate and protein meal consisting of the at least the minimum suggested. Deduct 50% off the calculated bolus dose to prevent delayed hypoglycaemia")))))))</f>
        <v/>
      </c>
      <c r="I7" s="37" t="str">
        <f>IF($B$9&gt;2,"",IF($B$9&lt;2,"",IF($B$10&lt;30,"",IF(B12&lt;1,"",IF(B12&gt;1,"",IF($B$11=1,SUM(B1*0.5),IF($B$11=2,(B1*1),IF($B$11=3,(B1*1.5)))))))))</f>
        <v/>
      </c>
      <c r="J7" s="37" t="str">
        <f>IF($B$9&gt;2,"",IF($B$9&lt;2,"",IF($B$10&lt;30,"",IF(B12&lt;1,"",IF(B12&gt;1,"",IF($B$11=1,SUM(B1*0.2),IF($B$11=2,(B1*0.3),IF($B$11=3,(B1*0.4)))))))))</f>
        <v/>
      </c>
    </row>
    <row r="8" spans="1:10" ht="54.75" customHeight="1">
      <c r="A8" s="21"/>
      <c r="B8" s="21"/>
      <c r="D8" s="1" t="s">
        <v>4</v>
      </c>
      <c r="E8" s="17" t="str">
        <f>IF($B$9&lt;2,"",IF($B$9=3,"",IF($B$9=2,"Full insulin")))</f>
        <v/>
      </c>
      <c r="F8" s="14" t="str">
        <f>IF($B$9&lt;2,"",IF($B$9&gt;2,"",IF($B$11=1,SUM(B1*0.4/60*$B$10/2),IF($B$11=2,SUM(B1*0.3/60*$B$10/2),IF($B$11=3,SUM(B1*0.2/60*$B$10/2))))))</f>
        <v/>
      </c>
      <c r="G8" s="15" t="str">
        <f>IF($B$9&lt;2,"",IF($B$9=3,"",IF($B$9=2,IF($B$10&gt;0,"grams carbohydrate 10 minutes before start &amp; the same grams half way through or spread equally over the duration"))))</f>
        <v/>
      </c>
      <c r="H8" s="28" t="str">
        <f>IF($B$9&lt;2,"",IF($B$9&gt;2,"",IF($B$10&lt;30,"",IF(B12&gt;1,IF($B$11=1,IF($B$5=1," As you are not eating for 90 minutes try 10g carbohydrate without bolus insulin ","Option 1: Reduce basal rate by 20% for 2 hours to prevent after exercise hypoglycaemia.  Option 2: Do an all out 10 second sprint at maximum capacity instead of basal rate reduction"),IF($B$11=2,IF($B$5=1," As you are not eating for 90 minutes try 20g carbohydrate without bolus insulin ","Option1: Reduce basal rate by 30% for 3 hours to prevent after exercise hypoglycaemia. Option 2: Do an all out 10 second sprint at maximum capacity instead of basal rate reduction"),IF($B$11=3,IF($B$5=1," As you are not eating for 90 minutes try 30g carbohydrate without bolus insulin ","Option1: Reduce basal rate by 40% for 4 hours to prevent after exercise hypoglycaemia. Option 2: Do an all out 10 second sprint at maximum capacity instead of basal rate reduction.")))),IF($B$11=1,"For recovery have a carbohydrate and protein meal consisting of the at least the minimum suggested. Deduct 15% off the calculated bolus dose to prevent delayed hypoglycaemia",IF($B$11=2,"For recovery have a carbohydrate and protein meal consisting of the at least the minimum suggested. Deduct 30% off the calculated bolus dose to prevent delayed hypoglycaemia",IF($B$11=3,"For recovery have a carbohydrate and protein meal consisting of the at least the minimum suggested. Deduct 50% off the calculated bolus dose to prevent delayed hypoglycaemia")))))))</f>
        <v/>
      </c>
      <c r="I8" s="17" t="str">
        <f>IF($B$9&gt;2,"",IF($B$9&lt;2,"",IF($B$10&lt;30,"",IF(B12&lt;1,"",IF(B12&gt;1,"",IF($B$11=1,SUM(B1*0.5),IF($B$11=2,(B1*1),IF($B$11=3,(B1*1.5)))))))))</f>
        <v/>
      </c>
      <c r="J8" s="17" t="str">
        <f>IF($B$9&gt;2,"",IF($B$9&lt;2,"",IF($B$10&lt;30,"",IF(B12&lt;1,"",IF(B12&gt;1,"",IF($B$11=1,SUM(B1*0.2),IF($B$11=2,(B1*0.3),IF($B$11=3,(B1*0.4)))))))))</f>
        <v/>
      </c>
    </row>
    <row r="9" spans="1:10" ht="57" customHeight="1">
      <c r="A9" s="1" t="s">
        <v>0</v>
      </c>
      <c r="B9" s="9">
        <f>'Data Entry Pump'!B9</f>
        <v>1</v>
      </c>
      <c r="D9" s="1" t="s">
        <v>5</v>
      </c>
      <c r="E9" s="17" t="str">
        <f>IF($B$9&lt;3,"",IF($B$9=3,"Full insulin"))</f>
        <v/>
      </c>
      <c r="F9" s="14" t="str">
        <f>IF($B$9&lt;3,"",IF($B$11=1,IF($B$5=1,SUM(B1*0.3/60*$B$10/2),""),IF($B$11=2,IF($B$5=1,SUM(B1*0.2/60*$B$10/2),""),IF($B$11=3,IF($B$5=1,SUM(B1*0.1/60*$B$10/2),"")))))</f>
        <v/>
      </c>
      <c r="G9" s="15" t="str">
        <f>IF($B$9&lt;3,"",IF($B$11=1,IF($B$5=1,"grams carbohydrate 10 minutes before start &amp; the same grams half way through or spread equally over the duration","Reduce basal by 40% ninety minutes before activity"),IF($B$11=2,IF($B$5=1,"grams carbohydrate 10 minutes before start &amp; the same grams half way through or spread equally over the duration","Reduce basal by 30% ninety minutes before activity"),IF($B$11=3,IF($B$5=1,"grams carbohydrate 10 minutes before start &amp; the same grams half way through or spread equally over the duration","Reduce basal by 20% ninety minutes before activity")))))</f>
        <v/>
      </c>
      <c r="H9" s="17" t="str">
        <f>IF($B$9&lt;3,"",IF($B$10&lt;30,"",IF(B12&gt;1,IF($B$11=1,IF($B$5=1," As you are not eating for 90 minutes try 10g carbohydrate without bolus insulin ","Option 1: Reduce basal rate by 20% for 2 hours to prevent after exercise hypoglycaemia.  Option 2: Do an all out 10 second sprint at maximum capacity instead of basal rate reduction"),IF($B$11=2,IF($B$5=1," As you are not eating for 90 minutes try 20g carbohydrate without bolus insulin ","Option 1: Reduce basal rate by 30% for 3 hours to prevent after exercise hypoglycaemia.  Option 2: Do an all out 10 second sprint at maximum capacity instead of basal rate reduction"),IF($B$11=3,IF($B$5=1," As you are not eating for 90 minutes try 30g carbohydrate without bolus insulin ","Option 1: Reduce basal rate by 40% for 4 hours to prevent after exercise hypoglycaemia.  Option 2: Do an all out 10 second sprint at maximum capacity instead of basal rate reduction")))),IF($B$11=1,"For recovery have a carbohydrate and protein meal consisting of the at least the minimum suggested. Deduct 15% off the calculated bolus dose to prevent delayed hypoglycaemia",IF($B$11=2,"For recovery have a carbohydrate and protein meal consisting of the at least the minimum suggested. Deduct 30% off the calculated bolus dose to prevent delayed hypoglycaemia",IF($B$11=3,"For recovery have a carbohydrate and protein meal consisting of the at least the minimum suggested. Deduct 50% off the calculated bolus dose to prevent delayed hypoglycaemia"))))))</f>
        <v/>
      </c>
      <c r="I9" s="17" t="str">
        <f>IF($B$9&lt;3,"",IF($B$10&lt;30,"",IF(B12&lt;1,"",IF(B12&gt;1,"",IF($B$11=1,SUM(B1*0.5),IF($B$11=2,(B1*1),IF($B$11=3,(B1*1.5))))))))</f>
        <v/>
      </c>
      <c r="J9" s="17" t="str">
        <f>IF($B$9&lt;3,"",IF($B$10&lt;30,"",IF(B12&lt;1,"",IF(B12&gt;1,"",IF($B$11=1,SUM(B1*0.2),IF($B$11=2,(B1*0.3),IF($B$11=3,(B1*0.4))))))))</f>
        <v/>
      </c>
    </row>
    <row r="10" spans="1:10" ht="36.75" customHeight="1">
      <c r="A10" s="1" t="s">
        <v>1</v>
      </c>
      <c r="B10" s="9">
        <f>'Data Entry Pump'!B10</f>
        <v>1</v>
      </c>
      <c r="F10" s="8"/>
      <c r="H10" s="164" t="s">
        <v>20</v>
      </c>
      <c r="I10" s="164"/>
      <c r="J10" s="164"/>
    </row>
    <row r="11" spans="1:10" ht="30" customHeight="1">
      <c r="A11" s="1" t="s">
        <v>2</v>
      </c>
      <c r="B11" s="9">
        <f>'Data Entry Pump'!B11</f>
        <v>1</v>
      </c>
      <c r="F11" s="8"/>
      <c r="H11" s="163" t="str">
        <f>IF($B$10&lt;30,"",IF($B$11=1,"Try 10g of carbohydrate with 5g protein with no bolus insulin before bed OR reduce basal by 10% overnight",IF($B$11=2,"Try 20g of carbohydrate and 10g protein with no bolus insulin before bed OR reduce basal by 20% overnight",IF($B$11=3,"Try 30g of carbohydrate and 15g protein with no bolus insulin before bed OR reduce basal by 30% overnight"))))</f>
        <v/>
      </c>
      <c r="I11" s="163"/>
      <c r="J11" s="163"/>
    </row>
    <row r="12" spans="1:10" ht="30" customHeight="1">
      <c r="A12" s="1" t="s">
        <v>3</v>
      </c>
      <c r="B12" s="9">
        <f>'Data Entry Pump'!B12</f>
        <v>1</v>
      </c>
      <c r="F12" s="8"/>
      <c r="H12" s="163"/>
      <c r="I12" s="163"/>
      <c r="J12" s="163"/>
    </row>
    <row r="14" spans="1:10" hidden="1"/>
    <row r="15" spans="1:10" hidden="1"/>
    <row r="16" spans="1:10" hidden="1"/>
    <row r="17" spans="1:1" hidden="1"/>
    <row r="18" spans="1:1" hidden="1"/>
    <row r="19" spans="1:1" hidden="1"/>
    <row r="20" spans="1:1" hidden="1"/>
    <row r="21" spans="1:1" hidden="1">
      <c r="A21" s="3">
        <v>1</v>
      </c>
    </row>
    <row r="22" spans="1:1" hidden="1">
      <c r="A22" s="3">
        <v>2</v>
      </c>
    </row>
    <row r="23" spans="1:1" hidden="1">
      <c r="A23" s="3">
        <v>3</v>
      </c>
    </row>
    <row r="24" spans="1:1" hidden="1">
      <c r="A24" s="3">
        <v>4</v>
      </c>
    </row>
    <row r="25" spans="1:1" hidden="1">
      <c r="A25" s="3">
        <v>5</v>
      </c>
    </row>
    <row r="26" spans="1:1" hidden="1"/>
    <row r="27" spans="1:1" hidden="1"/>
    <row r="28" spans="1:1" hidden="1"/>
    <row r="29" spans="1:1" hidden="1"/>
  </sheetData>
  <mergeCells count="6">
    <mergeCell ref="H11:J12"/>
    <mergeCell ref="D1:E1"/>
    <mergeCell ref="H1:J1"/>
    <mergeCell ref="F2:G2"/>
    <mergeCell ref="H2:J2"/>
    <mergeCell ref="H10:J10"/>
  </mergeCells>
  <dataValidations count="5">
    <dataValidation type="list" showInputMessage="1" showErrorMessage="1" promptTitle="Minutes since last bolus" prompt="1 = 0 - 90 minutes&#10;High insulin action&#10;&#10;2 = 90 - 180 minutes&#10;Medium insulin action&#10;&#10;3 = more than 180 minutes&#10;Low insulin action" sqref="B9:B12">
      <formula1>$A$21:$A$23</formula1>
    </dataValidation>
    <dataValidation type="textLength" allowBlank="1" showInputMessage="1" showErrorMessage="1" promptTitle="Activity name" prompt="Enter the name of your activity" sqref="B2">
      <formula1>0</formula1>
      <formula2>100</formula2>
    </dataValidation>
    <dataValidation type="decimal" showInputMessage="1" showErrorMessage="1" promptTitle="Weight (kg)" prompt="Enter weight in kilograms" sqref="B1">
      <formula1>1</formula1>
      <formula2>200</formula2>
    </dataValidation>
    <dataValidation type="textLength" allowBlank="1" showInputMessage="1" showErrorMessage="1" promptTitle="Name" prompt="Enter name of the exerciser" sqref="B3">
      <formula1>0</formula1>
      <formula2>100</formula2>
    </dataValidation>
    <dataValidation showInputMessage="1" showErrorMessage="1" promptTitle="Extra carbs vs insulin reduction" prompt="&#10;1 = Preference for extra carbs &amp; when activity is unplanned&#10;&#10;2 = Preference for insulin reduction, less CHO but requires more planning" sqref="B5"/>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J28"/>
  <sheetViews>
    <sheetView view="pageBreakPreview" topLeftCell="A2" zoomScaleNormal="60" zoomScaleSheetLayoutView="100" workbookViewId="0">
      <selection activeCell="H4" sqref="H4:H5"/>
    </sheetView>
  </sheetViews>
  <sheetFormatPr defaultRowHeight="15"/>
  <cols>
    <col min="1" max="1" width="21" style="3" customWidth="1"/>
    <col min="2" max="2" width="15.140625" style="3" customWidth="1"/>
    <col min="3" max="3" width="5.7109375" style="3" customWidth="1"/>
    <col min="4" max="4" width="11.140625" style="3" customWidth="1"/>
    <col min="5" max="5" width="18.85546875" style="3" customWidth="1"/>
    <col min="6" max="6" width="5.28515625" style="3" customWidth="1"/>
    <col min="7" max="7" width="39.140625" style="3" customWidth="1"/>
    <col min="8" max="8" width="61.85546875" style="3" customWidth="1"/>
    <col min="9" max="9" width="28.85546875" style="3" customWidth="1"/>
    <col min="10" max="10" width="28.28515625" style="3" customWidth="1"/>
    <col min="11" max="16384" width="9.140625" style="3"/>
  </cols>
  <sheetData>
    <row r="1" spans="1:10" ht="27.75" customHeight="1">
      <c r="A1" s="1" t="s">
        <v>12</v>
      </c>
      <c r="B1" s="9">
        <f>'Data Entry Pump'!B1</f>
        <v>1</v>
      </c>
      <c r="D1" s="159" t="s">
        <v>32</v>
      </c>
      <c r="E1" s="159"/>
      <c r="F1" s="159"/>
      <c r="G1" s="18">
        <f>B3</f>
        <v>0</v>
      </c>
      <c r="H1" s="159">
        <f>B2</f>
        <v>0</v>
      </c>
      <c r="I1" s="159"/>
      <c r="J1" s="159"/>
    </row>
    <row r="2" spans="1:10" ht="44.25" customHeight="1">
      <c r="A2" s="1" t="s">
        <v>16</v>
      </c>
      <c r="B2" s="9"/>
      <c r="D2" s="19" t="s">
        <v>6</v>
      </c>
      <c r="E2" s="19" t="s">
        <v>17</v>
      </c>
      <c r="F2" s="162" t="s">
        <v>18</v>
      </c>
      <c r="G2" s="162"/>
      <c r="H2" s="162" t="s">
        <v>19</v>
      </c>
      <c r="I2" s="162"/>
      <c r="J2" s="162"/>
    </row>
    <row r="3" spans="1:10" ht="66.75" customHeight="1">
      <c r="A3" s="1" t="s">
        <v>13</v>
      </c>
      <c r="B3" s="9"/>
      <c r="D3" s="7" t="s">
        <v>11</v>
      </c>
      <c r="E3" s="7" t="s">
        <v>23</v>
      </c>
      <c r="F3" s="7" t="s">
        <v>8</v>
      </c>
      <c r="G3" s="7" t="s">
        <v>15</v>
      </c>
      <c r="H3" s="7" t="s">
        <v>9</v>
      </c>
      <c r="I3" s="7" t="s">
        <v>7</v>
      </c>
      <c r="J3" s="7" t="s">
        <v>25</v>
      </c>
    </row>
    <row r="4" spans="1:10" ht="51" customHeight="1">
      <c r="A4" s="29"/>
      <c r="B4" s="30"/>
      <c r="D4" s="165" t="s">
        <v>26</v>
      </c>
      <c r="E4" s="155" t="str">
        <f>IF($B$8&gt;1,"",IF($B$8&lt;1,"",IF($B$9&lt;0.1,"",IF($B$10=1,"Try usual bolus first but If blood glucose rises, try adding 10% to pre-activity bolus insulin next time",IF($B$10=2,"Try usual bolus first but If blood glucose rises, try adding 20% to pre-activity bolus insulin next time",IF($B$10=3,"Try usual bolus first but If blood glucose rises, try adding 30% to pre-activity bolus insulin next time"))))))</f>
        <v>Try usual bolus first but If blood glucose rises, try adding 10% to pre-activity bolus insulin next time</v>
      </c>
      <c r="F4" s="153" t="str">
        <f>IF($B$8&gt;1,"",IF($B$8&lt;1,"",IF($B$9&lt;61,"",IF($B$10=1,SUM(B1*0.4/60*($B$9-60)),IF($B$10=2,SUM(B1*0.2/60*($B$9-60)),IF($B$10=3,SUM(B1*0.1/60*($B$9-60))))))))</f>
        <v/>
      </c>
      <c r="G4" s="155" t="str">
        <f>IF($B$8&gt;1,"",IF($B$8&lt;1,"",IF($B$9&lt;61,"","grams carbohydrate starting AFTER 60 minutes, spread equally AFTER 60 mins")))</f>
        <v/>
      </c>
      <c r="H4" s="155" t="str">
        <f>IF($B$8&lt;1,"",IF($B$8&gt;1,"",IF($B$9&lt;30,"",IF(B11&gt;1,IF($B$10=1,IF($B$5=1," As you are not eating for 90 minutes try 10g carbohydrate without bolus insulin ","Option 1: Reduce basal rate by 20% for 2 hours to prevent after exercise hypoglycaemia.  Option 2: Do an all out 10 second sprint at maximum capacity instead of basal rate reduction"),IF($B$10=2,IF($B$5=1," As you are not eating for 90 minutes try 20g carbohydrate without bolus insulin ","Option 1: Reduce basal rate by 30% for 3 hours to prevent after exercise hypoglycaemia.  Option 2: Do an all out 10 second sprint at maximum capacity instead of basal rate reduction"),IF($B$10=3,IF($B$5=1," As you are not eating for 90 minutes try 30g carbohydrate without bolus insulin ","Option1: Reduce basal rate by 40% for 4 hours to prevent after exercise hypoglycaemia. Option 2: Do an all out 10 second sprint at maximum capacity instead of basal rate reduction ")))),IF($B$10=1,"For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4" s="155" t="str">
        <f>IF($B$8&gt;1,"",IF($B$8&lt;1,"",IF($B$9&lt;30,"",IF(B11&lt;1,"",IF(B11&gt;1,"",IF($B$8=1,IF($B$10=1,SUM(B1*0.5),IF($B$10=2,(B1*1),IF($B$10=3,(B1*1.5))))))))))</f>
        <v/>
      </c>
      <c r="J4" s="155" t="str">
        <f>IF($B$8&gt;1,"",IF($B$8&lt;1,"",IF($B$9&lt;30,"",IF(B11&lt;1,"",IF(B11&gt;1,"",IF($B$8=1,IF($B$10=1,SUM(B1*0.2),IF($B$10=2,(B1*0.3),IF($B$10=3,(B1*0.4))))))))))</f>
        <v/>
      </c>
    </row>
    <row r="5" spans="1:10" ht="48.75" customHeight="1">
      <c r="A5" s="27" t="s">
        <v>43</v>
      </c>
      <c r="B5" s="26">
        <f>'DMF Data Entry'!C7</f>
        <v>1</v>
      </c>
      <c r="D5" s="166"/>
      <c r="E5" s="156"/>
      <c r="F5" s="154"/>
      <c r="G5" s="156"/>
      <c r="H5" s="156" t="str">
        <f>IF($B$8&lt;2,"",IF($B$8&gt;2,"",IF($B$9&lt;45,"",IF(B9&gt;1,IF($B$10=1,IF($B$5=1," As you are not eating for 90 minutes try 10g carbohydrate without bolus insulin ","Option 1: Reduce basal rate by 20% for 2 hours to prevent after exercise hypoglycaemia.  Option 2: Do an all out 10 second sprint at maximum capacity instead of basal rate reduction"),IF($B$10=2,IF($B$5=1," As you are not eating for 90 minutes try 20g carbohydrate without bolus insulin ","Option 1: Reduce basal rate by 30% for 3 hours to prevent after exercise hypoglycaemia.  Option 2: Do an all out 10 second sprint at maximum capacity instead of basal rate reduction"),IF($B$10=3,IF($B$5=1," As you are not eating for 90 minutes try 30g carbohydrate without bolus insulin ","Reduce basal rate by 40% for 4 hours to prevent after exercise hypoglycaemia ")))),IF($B$10=1,"For recovery have a carbohydrate and protein meal consisting of the at least the minimum suggested. Deduct 10% off the calculated bolus dose to prevent delayed hypoglycaemia",IF($B$10=2,"For recovery have a carbohydrate and protein meal consisting of the at least the minimum suggested. Deduct 20% off the calculated bolus dose to prevent delayed hypoglycaemia",IF($B$10=3,"For recovery have a carbohydrate and protein meal consisting of the at least the minimum suggested. Deduct 30% off the calculated bolus dose to prevent delayed hypoglycaemia")))))))</f>
        <v/>
      </c>
      <c r="I5" s="156"/>
      <c r="J5" s="156"/>
    </row>
    <row r="6" spans="1:10" ht="55.5" customHeight="1">
      <c r="A6" s="20"/>
      <c r="B6" s="20"/>
      <c r="D6" s="165" t="s">
        <v>4</v>
      </c>
      <c r="E6" s="155" t="str">
        <f>IF($B$8&lt;2,"",IF($B$8=3,"",IF($B$8=2,"Full insulin")))</f>
        <v/>
      </c>
      <c r="F6" s="157" t="str">
        <f>IF($B$8&lt;2,"",IF($B$8&gt;2,"",IF($B$10=1,SUM(B1*0.4/60*$B$9),IF($B$10=2,SUM(B1*0.3/60*$B$9),IF($B$10=3,SUM(B1*0.2/60*$B$9))))))</f>
        <v/>
      </c>
      <c r="G6" s="158" t="str">
        <f>IF($B$8&lt;2,"",IF($B$8=3,"",IF($B$8=2,IF($B$9&gt;0,"1: Try 0 carbs 2: If BG  rises with 0 carbs, try half usual correction dose e.g. ISF of 3.0 and BG rises 6.0mmol/l, 2.0 units usual, so only give 1.0 unit before starting 3: If BG drops with 0 carbs have the suggested grams carbohydrate 10 mins before"))))</f>
        <v/>
      </c>
      <c r="H6" s="155" t="str">
        <f>IF($B$8&lt;2,"",IF($B$8&gt;2,"",IF($B$9&lt;30,"",IF(B11&gt;1,IF($B$10=1,IF($B$5=1," As you are not eating for 90 minutes try 10g carbohydrate without bolus insulin ","Option 1: Reduce basal rate by 20% for 2 hours to prevent after exercise hypoglycaemia.  Option 2: Do an all out 10 second sprint at maximum capacity instead of basal rate reduction"),IF($B$10=2,IF($B$5=1," As you are not eating for 90 minutes try 20g carbohydrate without bolus insulin ","Option 1: Reduce basal rate by 30% for 3 hours to prevent after exercise hypoglycaemia.  Option 2: Do an all out 10 second sprint at maximum capacity instead of basal rate reduction"),IF($B$10=3,IF($B$5=1," As you are not eating for 90 minutes try 30g carbohydrate without bolus insulin ","Option 1: Reduce basal rate by 40% for 4 hours to prevent after exercise hypoglycaemia. Option 2: Do an all out 10 second sprint at maximum capacity instead of basal rate reduction ")))),IF($B$10=1,"For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6" s="155" t="str">
        <f>IF($B$8&gt;2,"",IF($B$8&lt;2,"",IF($B$9&lt;30,"",IF(B11&lt;1,"",IF(B11&gt;1,"",IF($B$10=1,SUM(B1*0.5),IF($B$10=2,(B1*1),IF($B$10=3,(B1*1.5)))))))))</f>
        <v/>
      </c>
      <c r="J6" s="155" t="str">
        <f>IF($B$8&gt;2,"",IF($B$8&lt;2,"",IF($B$9&lt;30,"",IF(B11&lt;1,"",IF(B11&gt;1,"",IF($B$10=1,SUM(B1*0.2),IF($B$10=2,(B1*0.3),IF($B$10=3,(B1*0.4)))))))))</f>
        <v/>
      </c>
    </row>
    <row r="7" spans="1:10" ht="54.75" customHeight="1">
      <c r="A7" s="21"/>
      <c r="B7" s="21"/>
      <c r="D7" s="166"/>
      <c r="E7" s="156"/>
      <c r="F7" s="157"/>
      <c r="G7" s="158"/>
      <c r="H7" s="156" t="str">
        <f>IF($B$8&lt;1,"",IF($B$8&gt;1,"",IF($B$9&lt;45,"",IF(B12&gt;1,IF($B$10=1,IF($B$5=1," As you are not eating for 90 minutes try 10g carbohydrate without bolus insulin ","Option 1: Reduce basal rate by 20% for 2 hours to prevent after exercise hypoglycaemia.  Option 2: Do an all out 10 second sprint at maximum capacity instead of basal rate reduction"),IF($B$10=2,IF($B$5=1," As you are not eating for 90 minutes try 20g carbohydrate without bolus insulin ","Option 1: Reduce basal rate by 30% for 3 hours to prevent after exercise hypoglycaemia.  Option 2: Do an all out 10 second sprint at maximum capacity instead of basal rate reduction"),IF($B$10=3,IF($B$5=1," As you are not eating for 90 minutes try 30g carbohydrate without bolus insulin ","Reduce basal rate by 40% for 4 hours to prevent after exercise hypoglycaemia ")))),IF($B$10=1,"For recovery have a carbohydrate and protein meal consisting of the at least the minimum suggested. Deduct 10% off the calculated bolus dose to prevent delayed hypoglycaemia",IF($B$10=2,"For recovery have a carbohydrate and protein meal consisting of the at least the minimum suggested. Deduct 20% off the calculated bolus dose to prevent delayed hypoglycaemia",IF($B$10=3,"For recovery have a carbohydrate and protein meal consisting of the at least the minimum suggested. Deduct 30% off the calculated bolus dose to prevent delayed hypoglycaemia")))))))</f>
        <v/>
      </c>
      <c r="I7" s="156"/>
      <c r="J7" s="156"/>
    </row>
    <row r="8" spans="1:10" ht="57" customHeight="1">
      <c r="A8" s="1" t="s">
        <v>0</v>
      </c>
      <c r="B8" s="9">
        <f>'Data Entry Pump'!B9</f>
        <v>1</v>
      </c>
      <c r="D8" s="165" t="s">
        <v>5</v>
      </c>
      <c r="E8" s="155" t="str">
        <f>IF($B$8&lt;3,"",IF($B$8=3,"Full insulin"))</f>
        <v/>
      </c>
      <c r="F8" s="157" t="str">
        <f>IF($B$8&lt;3,"",IF($B$8=3,IF($B$10=1,SUM(B1*0.3/60*$B$9),IF($B$10=2,SUM(B1*0.2/60*$B$9),IF($B$10=3,SUM(B1*0.1/60*$B$9))))))</f>
        <v/>
      </c>
      <c r="G8" s="158" t="str">
        <f>IF($B$8&lt;3,"",IF($B$8=3,IF($B$9&gt;0,"First, try 0g CHO. If BG rises, try half usual correction dose e.g. ISF of 3.0 and BG rises 6.0mmol/l, 2.0 units usual, so only give 1.0 unit before starting. If BG drops with 0g CHO have the carbs suggested 10mins before")))</f>
        <v/>
      </c>
      <c r="H8" s="155" t="str">
        <f>IF($B$8&lt;3,"",IF($B$8&gt;3,"",IF($B$9&lt;30,"",IF(B11&gt;1,IF($B$10=1,IF($B$5=1," As you are not eating for 90 minutes try 10g carbohydrate without bolus insulin ","Option 1: Reduce basal rate by 20% for 2 hours to prevent after exercise hypoglycaemia.  Option 2: Do an all out 10 second sprint at maximum capacity instead of basal rate reduction"),IF($B$10=2,IF($B$5=1," As you are not eating for 90 minutes try 20g carbohydrate without bolus insulin ","Option 1: Reduce basal rate by 30% for 3 hours to prevent after exercise hypoglycaemia.  Option 2: Do an all out 10 second sprint at maximum capacity instead of basal rate reduction"),IF($B$10=3,IF($B$5=1," As you are not eating for 90 minutes try 30g carbohydrate without bolus insulin ","Option1: Reduce basal rate by 40% for 4 hours to prevent after exercise hypoglycaemia. Option 2: Do an all out 10 second sprint at maximum capacity instead of basal rate reduction ")))),IF($B$10=1,"For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8" s="155" t="str">
        <f>IF($B$8&lt;3,"",IF($B$9&lt;30,"",IF(B11&lt;1,"",IF(B11&gt;1,"",IF($B$10=1,SUM(B1*0.5),IF($B$10=2,(B1*1),IF($B$10=3,(B1*1.5))))))))</f>
        <v/>
      </c>
      <c r="J8" s="155" t="str">
        <f>IF($B$8&lt;3,"",IF($B$9&lt;30,"",IF(B11&lt;1,"",IF(B11&gt;1,"",IF($B$10=1,SUM(B1*0.2),IF($B$10=2,(B1*0.3),IF($B$10=3,(B1*0.4))))))))</f>
        <v/>
      </c>
    </row>
    <row r="9" spans="1:10" ht="45" customHeight="1">
      <c r="A9" s="1" t="s">
        <v>1</v>
      </c>
      <c r="B9" s="9">
        <f>'Data Entry Pump'!B10</f>
        <v>1</v>
      </c>
      <c r="D9" s="166"/>
      <c r="E9" s="156"/>
      <c r="F9" s="157"/>
      <c r="G9" s="158"/>
      <c r="H9" s="156" t="str">
        <f>IF($B$8&lt;3,"",IF($B$9&lt;45,"",IF(B12&gt;1,IF($B$10=1,IF($B$5=1," As you are not eating for 90 minutes try 10g carbohydrate without bolus insulin ","Option 1: Reduce basal rate by 20% for 2 hours to prevent after exercise hypoglycaemia.  Option 2: Do an all out 10 second sprint at maximum capacity instead of basal rate reduction"),IF($B$10=2,IF($B$5=1," As you are not eating for 90 minutes try 20g carbohydrate without bolus insulin ","Option 1: Reduce basal rate by 30% for 3 hours to prevent after exercise hypoglycaemia.  Option 2: Do an all out 10 second sprint at maximum capacity instead of basal rate reduction"),IF($B$10=3,IF($B$5=1," As you are not eating for 90 minutes try 30g carbohydrate without bolus insulin ","Option 1: Reduce basal rate by 40% for 4 hours to prevent after exercise hypoglycaemia.  Option 2: Do an all out 10 second sprint at maximum capacity instead of basal rate reduction")))),IF($B$10=1,"For recovery have a carbohydrate and protein meal consisting of the at least the minimum suggested. Deduct 10% off the calculated bolus dose to prevent delayed hypoglycaemia",IF($B$10=2,"For recovery have a carbohydrate and protein meal consisting of the at least the minimum suggested. Deduct 20% off the calculated bolus dose to prevent delayed hypoglycaemia",IF($B$10=3,"For recovery have a carbohydrate and protein meal consisting of the at least the minimum suggested. Deduct 30% off the calculated bolus dose to prevent delayed hypoglycaemia"))))))</f>
        <v/>
      </c>
      <c r="I9" s="156"/>
      <c r="J9" s="156"/>
    </row>
    <row r="10" spans="1:10" ht="30" customHeight="1">
      <c r="A10" s="1" t="s">
        <v>2</v>
      </c>
      <c r="B10" s="9">
        <f>'Data Entry Pump'!B11</f>
        <v>1</v>
      </c>
      <c r="F10" s="8"/>
      <c r="H10" s="151" t="s">
        <v>20</v>
      </c>
      <c r="I10" s="151"/>
      <c r="J10" s="151"/>
    </row>
    <row r="11" spans="1:10" ht="30" customHeight="1">
      <c r="A11" s="1" t="s">
        <v>3</v>
      </c>
      <c r="B11" s="9">
        <f>'Data Entry Pump'!B12</f>
        <v>1</v>
      </c>
      <c r="F11" s="8"/>
      <c r="H11" s="152" t="str">
        <f>IF($B$9&lt;30,"",IF($B$10=1,"Try 10g of carbohydrate with 5g protein with no bolus insulin before bed OR reduce basal by 10% overnight",IF($B$10=2,"Try 20g of carbohydrate and 10g protein with no bolus insulin before bed OR reduce basal by 20% overnight",IF($B$10=3,"Try 30g of carbohydrate and 15g protein with no bolus insulin before bed OR reduce basal by 30% overnight"))))</f>
        <v/>
      </c>
      <c r="I11" s="152"/>
      <c r="J11" s="152"/>
    </row>
    <row r="13" spans="1:10" hidden="1"/>
    <row r="14" spans="1:10" hidden="1"/>
    <row r="15" spans="1:10" hidden="1"/>
    <row r="16" spans="1:10" hidden="1"/>
    <row r="17" spans="1:1" hidden="1"/>
    <row r="18" spans="1:1" hidden="1"/>
    <row r="19" spans="1:1" hidden="1"/>
    <row r="20" spans="1:1" hidden="1">
      <c r="A20" s="3">
        <v>1</v>
      </c>
    </row>
    <row r="21" spans="1:1" hidden="1">
      <c r="A21" s="3">
        <v>2</v>
      </c>
    </row>
    <row r="22" spans="1:1" hidden="1">
      <c r="A22" s="3">
        <v>3</v>
      </c>
    </row>
    <row r="23" spans="1:1" hidden="1">
      <c r="A23" s="3">
        <v>4</v>
      </c>
    </row>
    <row r="24" spans="1:1" hidden="1">
      <c r="A24" s="3">
        <v>5</v>
      </c>
    </row>
    <row r="25" spans="1:1" hidden="1"/>
    <row r="26" spans="1:1" hidden="1"/>
    <row r="27" spans="1:1" hidden="1"/>
    <row r="28" spans="1:1" hidden="1"/>
  </sheetData>
  <mergeCells count="27">
    <mergeCell ref="I6:I7"/>
    <mergeCell ref="H11:J11"/>
    <mergeCell ref="H10:J10"/>
    <mergeCell ref="H8:H9"/>
    <mergeCell ref="I8:I9"/>
    <mergeCell ref="J8:J9"/>
    <mergeCell ref="D8:D9"/>
    <mergeCell ref="E8:E9"/>
    <mergeCell ref="F8:F9"/>
    <mergeCell ref="G8:G9"/>
    <mergeCell ref="G6:G7"/>
    <mergeCell ref="H1:J1"/>
    <mergeCell ref="F2:G2"/>
    <mergeCell ref="H2:J2"/>
    <mergeCell ref="D6:D7"/>
    <mergeCell ref="E6:E7"/>
    <mergeCell ref="J6:J7"/>
    <mergeCell ref="H4:H5"/>
    <mergeCell ref="J4:J5"/>
    <mergeCell ref="I4:I5"/>
    <mergeCell ref="D4:D5"/>
    <mergeCell ref="E4:E5"/>
    <mergeCell ref="F4:F5"/>
    <mergeCell ref="G4:G5"/>
    <mergeCell ref="D1:F1"/>
    <mergeCell ref="F6:F7"/>
    <mergeCell ref="H6:H7"/>
  </mergeCells>
  <dataValidations count="5">
    <dataValidation type="textLength" allowBlank="1" showInputMessage="1" showErrorMessage="1" promptTitle="Name" prompt="Enter name of the exerciser" sqref="B3">
      <formula1>0</formula1>
      <formula2>100</formula2>
    </dataValidation>
    <dataValidation type="decimal" showInputMessage="1" showErrorMessage="1" promptTitle="Weight (kg)" prompt="Enter weight in kilograms" sqref="B1">
      <formula1>1</formula1>
      <formula2>200</formula2>
    </dataValidation>
    <dataValidation type="textLength" allowBlank="1" showInputMessage="1" showErrorMessage="1" promptTitle="Activity name" prompt="Enter the name of your activity" sqref="B2">
      <formula1>0</formula1>
      <formula2>100</formula2>
    </dataValidation>
    <dataValidation type="list" showInputMessage="1" showErrorMessage="1" promptTitle="Minutes since last bolus" prompt="1 = 0 - 90 minutes&#10;High insulin action&#10;&#10;2 = 90 - 180 minutes&#10;Medium insulin action&#10;&#10;3 = more than 180 minutes&#10;Low insulin action" sqref="B8:B11">
      <formula1>$A$20:$A$22</formula1>
    </dataValidation>
    <dataValidation showInputMessage="1" showErrorMessage="1" promptTitle="Extra carbs vs insulin reduction" prompt="&#10;1 = Preference for extra carbs &amp; when activity is unplanned&#10;&#10;2 = Preference for insulin reduction, less CHO but requires more planning" sqref="B5"/>
  </dataValidation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1:I28"/>
  <sheetViews>
    <sheetView view="pageBreakPreview" topLeftCell="A4" zoomScaleNormal="60" zoomScaleSheetLayoutView="100" workbookViewId="0">
      <selection activeCell="G12" sqref="G12"/>
    </sheetView>
  </sheetViews>
  <sheetFormatPr defaultRowHeight="15"/>
  <cols>
    <col min="1" max="1" width="21" style="3" customWidth="1"/>
    <col min="2" max="2" width="15.140625" style="3" customWidth="1"/>
    <col min="3" max="3" width="5.7109375" style="3" customWidth="1"/>
    <col min="4" max="4" width="23.42578125" style="3" customWidth="1"/>
    <col min="5" max="5" width="5.28515625" style="3" customWidth="1"/>
    <col min="6" max="6" width="43.5703125" style="3" customWidth="1"/>
    <col min="7" max="7" width="61.85546875" style="3" customWidth="1"/>
    <col min="8" max="8" width="28.85546875" style="3" customWidth="1"/>
    <col min="9" max="9" width="28.28515625" style="3" customWidth="1"/>
    <col min="10" max="16384" width="9.140625" style="3"/>
  </cols>
  <sheetData>
    <row r="1" spans="1:9" ht="27.75" customHeight="1">
      <c r="A1" s="1" t="s">
        <v>12</v>
      </c>
      <c r="B1" s="9">
        <f>'Data Entry'!B1</f>
        <v>1</v>
      </c>
      <c r="D1" s="159" t="str">
        <f>B3</f>
        <v>John Pemberton</v>
      </c>
      <c r="E1" s="159"/>
      <c r="F1" s="159"/>
      <c r="G1" s="159" t="str">
        <f>B2</f>
        <v>Football Saturday and Sunday</v>
      </c>
      <c r="H1" s="159"/>
      <c r="I1" s="159"/>
    </row>
    <row r="2" spans="1:9" ht="44.25" customHeight="1">
      <c r="A2" s="1" t="s">
        <v>16</v>
      </c>
      <c r="B2" s="9" t="s">
        <v>30</v>
      </c>
      <c r="D2" s="160" t="s">
        <v>17</v>
      </c>
      <c r="E2" s="162" t="s">
        <v>18</v>
      </c>
      <c r="F2" s="162"/>
      <c r="G2" s="162" t="s">
        <v>19</v>
      </c>
      <c r="H2" s="162"/>
      <c r="I2" s="162"/>
    </row>
    <row r="3" spans="1:9" ht="66.75" customHeight="1">
      <c r="A3" s="1" t="s">
        <v>13</v>
      </c>
      <c r="B3" s="9" t="s">
        <v>31</v>
      </c>
      <c r="D3" s="161"/>
      <c r="E3" s="7" t="s">
        <v>8</v>
      </c>
      <c r="F3" s="7" t="s">
        <v>15</v>
      </c>
      <c r="G3" s="7" t="s">
        <v>9</v>
      </c>
      <c r="H3" s="7" t="s">
        <v>7</v>
      </c>
      <c r="I3" s="7" t="s">
        <v>25</v>
      </c>
    </row>
    <row r="4" spans="1:9" ht="39.75" customHeight="1">
      <c r="A4" s="22" t="s">
        <v>28</v>
      </c>
      <c r="B4" s="9">
        <f>'Data Entry'!B4</f>
        <v>1</v>
      </c>
      <c r="D4" s="155" t="str">
        <f>IF($B$8&gt;1,"",IF($B$8&lt;1,"",IF($B$5=1,'MDI Anaerobic (short &amp; sharp)'!E4:E5,IF($B$5=2,'MDI Intermittent'!E5,IF($B$5=3,'MDI Aerobic (endurance)'!E5)))))</f>
        <v>1: Try usual bolus first but If blood glucose rises, try adding 10% to pre-activity bolus insulin next time</v>
      </c>
      <c r="E4" s="153" t="str">
        <f>IF($B$8&gt;1,"",IF($B$8&lt;1,"",IF($B$5=1,'MDI Anaerobic (short &amp; sharp)'!F4:F5,IF($B$5=2,'MDI Intermittent'!F5,IF($B$5=3,'MDI Aerobic (endurance)'!F5)))))</f>
        <v/>
      </c>
      <c r="F4" s="155" t="str">
        <f>IF($B$8&gt;1,"",IF($B$8&lt;1,"",IF($B$5=1,'MDI Anaerobic (short &amp; sharp)'!G4:G5,IF($B$5=2,'MDI Intermittent'!G5,IF($B$5=3,'MDI Aerobic (endurance)'!G5)))))</f>
        <v/>
      </c>
      <c r="G4" s="155" t="str">
        <f>IF($B$8&gt;1,"",IF($B$8&lt;1,"",IF($B$5=1,'MDI Anaerobic (short &amp; sharp)'!H4:H5,IF($B$5=2,'MDI Intermittent'!H5,IF($B$5=3,'MDI Aerobic (endurance)'!H5)))))</f>
        <v/>
      </c>
      <c r="H4" s="155" t="str">
        <f>IF($B$8&gt;1,"",IF($B$8&lt;1,"",IF($B$5=1,'MDI Anaerobic (short &amp; sharp)'!I4:I5,IF($B$5=2,'MDI Intermittent'!I5,IF($B$5=3,'MDI Aerobic (endurance)'!I5)))))</f>
        <v/>
      </c>
      <c r="I4" s="155" t="str">
        <f>IF($B$8&gt;1,"",IF($B$8&lt;1,"",IF($B$5=1,'MDI Anaerobic (short &amp; sharp)'!J4:J5,IF($B$5=2,'MDI Intermittent'!J5,IF($B$5=3,'MDI Aerobic (endurance)'!J5)))))</f>
        <v/>
      </c>
    </row>
    <row r="5" spans="1:9" ht="39.75" customHeight="1">
      <c r="A5" s="23" t="s">
        <v>29</v>
      </c>
      <c r="B5" s="9">
        <f>'Data Entry'!B5</f>
        <v>1</v>
      </c>
      <c r="D5" s="156"/>
      <c r="E5" s="154"/>
      <c r="F5" s="156"/>
      <c r="G5" s="156"/>
      <c r="H5" s="156"/>
      <c r="I5" s="156"/>
    </row>
    <row r="6" spans="1:9" ht="55.5" customHeight="1">
      <c r="A6" s="33" t="s">
        <v>43</v>
      </c>
      <c r="B6" s="26">
        <f>'DMF Data Entry'!C7</f>
        <v>1</v>
      </c>
      <c r="D6" s="17" t="str">
        <f>IF($B$8&gt;1,"",IF($B$8&lt;1,"",IF($B$5=1,"",IF($B$5=2,'MDI Intermittent'!E6,IF($B$5=3,'MDI Aerobic (endurance)'!E6)))))</f>
        <v/>
      </c>
      <c r="E6" s="16" t="str">
        <f>IF($B$8&gt;1,"",IF($B$8&lt;1,"",IF($B$5=1,"",IF($B$5=2,'MDI Intermittent'!F6,IF($B$5=3,'MDI Aerobic (endurance)'!F6)))))</f>
        <v/>
      </c>
      <c r="F6" s="17" t="str">
        <f>IF($B$8&gt;1,"",IF($B$8&lt;1,"",IF($B$5=1,"",IF($B$5=2,'MDI Intermittent'!G6,IF($B$5=3,'MDI Aerobic (endurance)'!G6)))))</f>
        <v/>
      </c>
      <c r="G6" s="17" t="str">
        <f>IF($B$8&gt;1,"",IF($B$8&lt;1,"",IF($B$5=1,"",IF($B$5=2,'MDI Intermittent'!H6,IF($B$5=3,'MDI Aerobic (endurance)'!H6)))))</f>
        <v/>
      </c>
      <c r="H6" s="17" t="str">
        <f>IF($B$8&gt;1,"",IF($B$8&lt;1,"",IF($B$5=1,"",IF($B$5=2,'MDI Intermittent'!I6,IF($B$5=3,'MDI Aerobic (endurance)'!I6)))))</f>
        <v/>
      </c>
      <c r="I6" s="17" t="str">
        <f>IF($B$8&gt;1,"",IF($B$8&lt;1,"",IF($B$5=1,"",IF($B$5=2,'MDI Intermittent'!J6,IF($B$5=3,'MDI Aerobic (endurance)'!J6)))))</f>
        <v/>
      </c>
    </row>
    <row r="7" spans="1:9" ht="74.25" customHeight="1">
      <c r="A7" s="21"/>
      <c r="B7" s="21"/>
      <c r="D7" s="17" t="str">
        <f>IF($B$8&lt;2,"",IF($B$8=3,"",IF($B$5=1,'MDI Anaerobic (short &amp; sharp)'!E6,IF($B$5=2,'MDI Intermittent'!E7,IF($B$5=3,'MDI Aerobic (endurance)'!E7)))))</f>
        <v/>
      </c>
      <c r="E7" s="16" t="str">
        <f>IF($B$8&lt;2,"",IF($B$8=3,"",IF($B$5=1,'MDI Anaerobic (short &amp; sharp)'!F6,IF($B$5=2,'MDI Intermittent'!F7,IF($B$5=3,'MDI Aerobic (endurance)'!F7)))))</f>
        <v/>
      </c>
      <c r="F7" s="17" t="str">
        <f>IF($B$8&lt;2,"",IF($B$8=3,"",IF($B$5=1,'MDI Anaerobic (short &amp; sharp)'!G6,IF($B$5=2,'MDI Intermittent'!G7,IF($B$5=3,'MDI Aerobic (endurance)'!G7)))))</f>
        <v/>
      </c>
      <c r="G7" s="17" t="str">
        <f>IF($B$8&lt;2,"",IF($B$8=3,"",IF($B$5=1,'MDI Anaerobic (short &amp; sharp)'!H6,IF($B$5=2,'MDI Intermittent'!H7,IF($B$5=3,'MDI Aerobic (endurance)'!H7)))))</f>
        <v/>
      </c>
      <c r="H7" s="17" t="str">
        <f>IF($B$8&lt;2,"",IF($B$8=3,"",IF($B$5=1,'MDI Anaerobic (short &amp; sharp)'!I6,IF($B$5=2,'MDI Intermittent'!I7,IF($B$5=3,'MDI Aerobic (endurance)'!I7)))))</f>
        <v/>
      </c>
      <c r="I7" s="17" t="str">
        <f>IF($B$8&lt;2,"",IF($B$8=3,"",IF($B$5=1,'MDI Anaerobic (short &amp; sharp)'!J6,IF($B$5=2,'MDI Intermittent'!J7,IF($B$5=3,'MDI Aerobic (endurance)'!J7)))))</f>
        <v/>
      </c>
    </row>
    <row r="8" spans="1:9" ht="57" customHeight="1">
      <c r="A8" s="1" t="s">
        <v>0</v>
      </c>
      <c r="B8" s="9">
        <f>'Data Entry'!B10</f>
        <v>1</v>
      </c>
      <c r="D8" s="155" t="str">
        <f>IF($B$8&lt;3,"",IF($B$5=1,'MDI Anaerobic (short &amp; sharp)'!E8,IF($B$5=2,'MDI Intermittent'!E8,IF($B$5=3,'MDI Aerobic (endurance)'!E8))))</f>
        <v/>
      </c>
      <c r="E8" s="157" t="str">
        <f>IF($B$8&lt;3,"",IF($B$5=1,'MDI Anaerobic (short &amp; sharp)'!F8,IF($B$5=2,'MDI Intermittent'!F8,IF($B$5=3,'MDI Aerobic (endurance)'!F8))))</f>
        <v/>
      </c>
      <c r="F8" s="158" t="str">
        <f>IF($B$8&lt;3,"",IF($B$5=1,'MDI Anaerobic (short &amp; sharp)'!G8,IF($B$5=2,'MDI Intermittent'!G8,IF($B$5=3,'MDI Aerobic (endurance)'!G8))))</f>
        <v/>
      </c>
      <c r="G8" s="155" t="str">
        <f>IF($B$8&lt;3,"",IF($B$5=1,'MDI Anaerobic (short &amp; sharp)'!H8,IF($B$5=2,'MDI Intermittent'!H8,IF($B$5=3,'MDI Aerobic (endurance)'!H8))))</f>
        <v/>
      </c>
      <c r="H8" s="155" t="str">
        <f>IF($B$8&lt;3,"",IF($B$5=1,'MDI Anaerobic (short &amp; sharp)'!I8,IF($B$5=2,'MDI Intermittent'!I8,IF($B$5=3,'MDI Aerobic (endurance)'!I8))))</f>
        <v/>
      </c>
      <c r="I8" s="155" t="str">
        <f>IF($B$8&lt;3,"",IF($B$5=1,'MDI Anaerobic (short &amp; sharp)'!J8,IF($B$5=2,'MDI Intermittent'!J8,IF($B$5=3,'MDI Aerobic (endurance)'!J8))))</f>
        <v/>
      </c>
    </row>
    <row r="9" spans="1:9" ht="45" customHeight="1">
      <c r="A9" s="1" t="s">
        <v>1</v>
      </c>
      <c r="B9" s="9">
        <f>'Data Entry'!B11</f>
        <v>1</v>
      </c>
      <c r="D9" s="156"/>
      <c r="E9" s="157"/>
      <c r="F9" s="158"/>
      <c r="G9" s="156"/>
      <c r="H9" s="156"/>
      <c r="I9" s="156"/>
    </row>
    <row r="10" spans="1:9" ht="30" customHeight="1">
      <c r="A10" s="1" t="s">
        <v>2</v>
      </c>
      <c r="B10" s="9">
        <f>'Data Entry'!B12</f>
        <v>1</v>
      </c>
      <c r="E10" s="8"/>
      <c r="G10" s="151" t="s">
        <v>20</v>
      </c>
      <c r="H10" s="151"/>
      <c r="I10" s="151"/>
    </row>
    <row r="11" spans="1:9" ht="30" customHeight="1">
      <c r="A11" s="1" t="s">
        <v>3</v>
      </c>
      <c r="B11" s="9">
        <f>'Data Entry'!B13</f>
        <v>1</v>
      </c>
      <c r="E11" s="8"/>
      <c r="G11" s="152" t="str">
        <f>IF($B$9&lt;30,"",IF($B$10=1,"If BG 4-8mmol/l before bed have 5g of carbohydrate with 5g protein",IF($B$10=2,"If BG 4-8mmol/l before bed have 10g of carbohydrate with 10g protein with no bolus insulin",IF($B$10=3,"If BG 4-8mmol/l before bed have 15g of carbohydrate with 15g protein with no bolus insulin"))))</f>
        <v/>
      </c>
      <c r="H11" s="152"/>
      <c r="I11" s="152"/>
    </row>
    <row r="12" spans="1:9">
      <c r="G12" s="3" t="str">
        <f>IF($B$9&lt;30,"",IF($B$10=1,"If BG 4-8mmol/l and on split dose background insulin reduce night dose by 10%",IF($B$10=2,"If BG 4-8mmol/l and on split dose background insulin reduce night dose by 20%",IF($B$10=3,"If BG 4-8mmol/l and on split dose background insulin reduce night dose by 30%"))))</f>
        <v/>
      </c>
    </row>
    <row r="13" spans="1:9" hidden="1"/>
    <row r="14" spans="1:9" hidden="1"/>
    <row r="15" spans="1:9" hidden="1"/>
    <row r="16" spans="1:9" hidden="1"/>
    <row r="17" spans="1:1" hidden="1"/>
    <row r="18" spans="1:1" hidden="1"/>
    <row r="19" spans="1:1" hidden="1"/>
    <row r="20" spans="1:1" hidden="1">
      <c r="A20" s="3">
        <v>1</v>
      </c>
    </row>
    <row r="21" spans="1:1" hidden="1">
      <c r="A21" s="3">
        <v>2</v>
      </c>
    </row>
    <row r="22" spans="1:1" hidden="1">
      <c r="A22" s="3">
        <v>3</v>
      </c>
    </row>
    <row r="23" spans="1:1" hidden="1">
      <c r="A23" s="3">
        <v>4</v>
      </c>
    </row>
    <row r="24" spans="1:1" hidden="1">
      <c r="A24" s="3">
        <v>5</v>
      </c>
    </row>
    <row r="25" spans="1:1" hidden="1"/>
    <row r="26" spans="1:1" hidden="1"/>
    <row r="27" spans="1:1" hidden="1"/>
    <row r="28" spans="1:1" hidden="1"/>
  </sheetData>
  <mergeCells count="19">
    <mergeCell ref="G1:I1"/>
    <mergeCell ref="E2:F2"/>
    <mergeCell ref="G2:I2"/>
    <mergeCell ref="D4:D5"/>
    <mergeCell ref="E4:E5"/>
    <mergeCell ref="D1:F1"/>
    <mergeCell ref="D2:D3"/>
    <mergeCell ref="H4:H5"/>
    <mergeCell ref="I4:I5"/>
    <mergeCell ref="D8:D9"/>
    <mergeCell ref="E8:E9"/>
    <mergeCell ref="F8:F9"/>
    <mergeCell ref="F4:F5"/>
    <mergeCell ref="G4:G5"/>
    <mergeCell ref="I8:I9"/>
    <mergeCell ref="G10:I10"/>
    <mergeCell ref="G11:I11"/>
    <mergeCell ref="G8:G9"/>
    <mergeCell ref="H8:H9"/>
  </mergeCells>
  <dataValidations count="6">
    <dataValidation type="textLength" allowBlank="1" showInputMessage="1" showErrorMessage="1" promptTitle="Name" prompt="Enter name of the exerciser" sqref="B3">
      <formula1>0</formula1>
      <formula2>100</formula2>
    </dataValidation>
    <dataValidation type="decimal" showInputMessage="1" showErrorMessage="1" promptTitle="Weight (kg)" prompt="Enter weight in kilograms" sqref="B1">
      <formula1>1</formula1>
      <formula2>200</formula2>
    </dataValidation>
    <dataValidation type="textLength" allowBlank="1" showInputMessage="1" showErrorMessage="1" promptTitle="Activity name" prompt="Enter the name of your activity" sqref="B2">
      <formula1>0</formula1>
      <formula2>100</formula2>
    </dataValidation>
    <dataValidation type="list" showInputMessage="1" showErrorMessage="1" promptTitle="Minutes since last bolus" prompt="1 = 0 - 90 minutes&#10;High insulin action&#10;&#10;2 = 90 - 180 minutes&#10;Medium insulin action&#10;&#10;3 = more than 180 minutes&#10;Low insulin action" sqref="B8:B11">
      <formula1>$A$20:$A$22</formula1>
    </dataValidation>
    <dataValidation type="list" showInputMessage="1" showErrorMessage="1" promptTitle="Therapy type" prompt="1 = MDI&#10;2 = Pump" sqref="B4:B5">
      <formula1>$A$20:$A$21</formula1>
    </dataValidation>
    <dataValidation showDropDown="1" showErrorMessage="1" promptTitle="Extra carbs vs insulin reduction" prompt="&#10;1 = Preference for extra carbs &amp; when activity is unplanned&#10;&#10;2 = Preference for insulin reduction, less CHO but requires more planning" sqref="B6"/>
  </dataValidation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dimension ref="A1:J28"/>
  <sheetViews>
    <sheetView view="pageBreakPreview" topLeftCell="F7" zoomScaleNormal="60" zoomScaleSheetLayoutView="100" workbookViewId="0">
      <selection activeCell="H10" sqref="H10:J10"/>
    </sheetView>
  </sheetViews>
  <sheetFormatPr defaultRowHeight="15"/>
  <cols>
    <col min="1" max="1" width="21" style="3" customWidth="1"/>
    <col min="2" max="2" width="15.140625" style="3" customWidth="1"/>
    <col min="3" max="3" width="5.7109375" style="3" customWidth="1"/>
    <col min="4" max="4" width="19.85546875" style="3" customWidth="1"/>
    <col min="5" max="5" width="23.42578125" style="3" customWidth="1"/>
    <col min="6" max="6" width="5.28515625" style="3" customWidth="1"/>
    <col min="7" max="7" width="31.42578125" style="3" customWidth="1"/>
    <col min="8" max="8" width="61.85546875" style="3" customWidth="1"/>
    <col min="9" max="9" width="28.85546875" style="3" customWidth="1"/>
    <col min="10" max="10" width="28.28515625" style="3" customWidth="1"/>
    <col min="11" max="16384" width="9.140625" style="3"/>
  </cols>
  <sheetData>
    <row r="1" spans="1:10" ht="27.75" customHeight="1">
      <c r="A1" s="1" t="s">
        <v>12</v>
      </c>
      <c r="B1" s="9">
        <f>'Data Entry MDI'!B1</f>
        <v>1</v>
      </c>
      <c r="D1" s="159" t="s">
        <v>22</v>
      </c>
      <c r="E1" s="159"/>
      <c r="F1" s="11"/>
      <c r="G1" s="11">
        <f>B3</f>
        <v>0</v>
      </c>
      <c r="H1" s="159">
        <f>B2</f>
        <v>0</v>
      </c>
      <c r="I1" s="159"/>
      <c r="J1" s="159"/>
    </row>
    <row r="2" spans="1:10" ht="44.25" customHeight="1">
      <c r="A2" s="1" t="s">
        <v>16</v>
      </c>
      <c r="B2" s="9"/>
      <c r="D2" s="10" t="s">
        <v>6</v>
      </c>
      <c r="E2" s="10" t="s">
        <v>17</v>
      </c>
      <c r="F2" s="162" t="s">
        <v>18</v>
      </c>
      <c r="G2" s="162"/>
      <c r="H2" s="162" t="s">
        <v>19</v>
      </c>
      <c r="I2" s="162"/>
      <c r="J2" s="162"/>
    </row>
    <row r="3" spans="1:10" ht="66.75" customHeight="1">
      <c r="A3" s="1" t="s">
        <v>13</v>
      </c>
      <c r="B3" s="9"/>
      <c r="D3" s="7" t="s">
        <v>11</v>
      </c>
      <c r="E3" s="7" t="s">
        <v>23</v>
      </c>
      <c r="F3" s="7" t="s">
        <v>8</v>
      </c>
      <c r="G3" s="7" t="s">
        <v>15</v>
      </c>
      <c r="H3" s="7" t="s">
        <v>9</v>
      </c>
      <c r="I3" s="7" t="s">
        <v>7</v>
      </c>
      <c r="J3" s="7" t="s">
        <v>25</v>
      </c>
    </row>
    <row r="4" spans="1:10" ht="51" customHeight="1">
      <c r="A4" s="29"/>
      <c r="B4" s="30"/>
      <c r="D4" s="165" t="s">
        <v>26</v>
      </c>
      <c r="E4" s="155" t="str">
        <f>IF($B$8&gt;1,"",IF($B$8&lt;1,"",IF($B$9&lt;0.1,"",IF($B$10=1,"1: Try usual bolus first but If blood glucose rises, try adding 10% to pre-activity bolus insulin next time",IF($B$10=2,"Try usual bolus first but If blood glucose rises, try adding 20% to pre-activity bolus insulin next time",IF($B$10=3,"Try usual bolus first but If blood glucose rises, try adding 30% to pre-activity bolus insulin next time"))))))</f>
        <v>1: Try usual bolus first but If blood glucose rises, try adding 10% to pre-activity bolus insulin next time</v>
      </c>
      <c r="F4" s="153" t="str">
        <f>IF($B$8&gt;1,"",IF($B$8&lt;1,"",IF($B$9&lt;61,"",IF($B$10=1,SUM(B1*0.3/60*($B$9-60)),IF($B$10=2,SUM(B1*0.2/60*($B$9-60)),IF($B$10=3,SUM(B1*0.1/60*($B$9-60))))))))</f>
        <v/>
      </c>
      <c r="G4" s="155" t="str">
        <f>IF($B$8&gt;1,"",IF($B$8&lt;1,"",IF($B$9&lt;61,"","grams carbohydrate starting AFTER 60 minutes, spread equally AFTER 60 mins")))</f>
        <v/>
      </c>
      <c r="H4" s="155" t="str">
        <f>IF($B$8&lt;1,"",IF($B$8&gt;1,"",IF($B$9&lt;30,"",IF(B11&gt;1,IF($B$10=1,IF($B$5=1," As you are not eating for 90 minutes try 10g carbohydrate without bolus insulin","As you do not want an extra 10g carbohydrate without insulin, you would benefit from a 10 second all out sprint to prevent hypoglycaemia"),IF($B$10=2,IF($B$5=1," As you are not eating for 90 minutes try 20g carbohydrate without bolus insulin ","As you do not want an extra 20g carbohydrate without insulin, you would benefit from a 10 second all out sprint to prevent hypoglycaemia"),IF($B$10=3,IF($B$5=1," As you are not eating for 90 minutes try 30g carbohydrate without bolus insulin ","As you do not want an extra 30g carbohydrate without insulin, you would benefit from a 10 second all out sprint to prevent hypoglycaemia")))),IF($B$10=1,"For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4" s="155" t="str">
        <f>IF($B$8&gt;1,"",IF($B$8&lt;1,"",IF($B$9&lt;30,"",IF(B11&lt;1,"",IF(B11&gt;1,"",IF($B$8=1,IF($B$10=1,SUM(B1*0.5),IF($B$10=2,(B1*1),IF($B$10=3,(B1*1.5))))))))))</f>
        <v/>
      </c>
      <c r="J4" s="155" t="str">
        <f>IF($B$8&gt;1,"",IF($B$8&lt;1,"",IF($B$9&lt;30,"",IF(B11&lt;1,"",IF(B11&gt;1,"",IF($B$8=1,IF($B$10=1,SUM(B1*0.2),IF($B$10=2,(B1*0.3),IF($B$10=3,(B1*0.4))))))))))</f>
        <v/>
      </c>
    </row>
    <row r="5" spans="1:10" ht="48.75" customHeight="1">
      <c r="A5" s="31" t="s">
        <v>43</v>
      </c>
      <c r="B5" s="26">
        <f>'DMF Data Entry'!C7</f>
        <v>1</v>
      </c>
      <c r="D5" s="166"/>
      <c r="E5" s="156"/>
      <c r="F5" s="154"/>
      <c r="G5" s="156"/>
      <c r="H5" s="156" t="str">
        <f>IF($B$8&lt;2,"",IF($B$8&gt;2,"",IF($B$9&lt;45,"",IF(B9&gt;1,IF($B$10=1,IF($B$5=1," As you are not eating for 90 minutes try 10g carbohydrate without bolus insulin ","Option 1: Reduce basal rate by 20% for 2 hours to prevent after exercise hypoglycaemia.  Option 2: Do an all out 10 second sprint at maximum capacity instead of basal rate reduction"),IF($B$10=2,IF($B$5=1," As you are not eating for 90 minutes try 20g carbohydrate without bolus insulin ","Option 1: Reduce basal rate by 30% for 3 hours to prevent after exercise hypoglycaemia.  Option 2: Do an all out 10 second sprint at maximum capacity instead of basal rate reduction"),IF($B$10=3,IF($B$5=1," As you are not eating for 90 minutes try 30g carbohydrate without bolus insulin ","Reduce basal rate by 40% for 4 hours to prevent after exercise hypoglycaemia ")))),IF($B$10=1,"For recovery have a carbohydrate and protein meal consisting of the at least the minimum suggested. Deduct 10% off the calculated bolus dose to prevent delayed hypoglycaemia",IF($B$10=2,"For recovery have a carbohydrate and protein meal consisting of the at least the minimum suggested. Deduct 20% off the calculated bolus dose to prevent delayed hypoglycaemia",IF($B$10=3,"For recovery have a carbohydrate and protein meal consisting of the at least the minimum suggested. Deduct 30% off the calculated bolus dose to prevent delayed hypoglycaemia")))))))</f>
        <v/>
      </c>
      <c r="I5" s="156"/>
      <c r="J5" s="156"/>
    </row>
    <row r="6" spans="1:10" ht="55.5" customHeight="1">
      <c r="A6" s="20"/>
      <c r="B6" s="20"/>
      <c r="D6" s="165" t="s">
        <v>4</v>
      </c>
      <c r="E6" s="155" t="str">
        <f>IF($B$8&lt;2,"",IF($B$8=3,"",IF($B$8=2,"Full insulin")))</f>
        <v/>
      </c>
      <c r="F6" s="157" t="str">
        <f>IF($B$8&lt;2,"",IF($B$8&gt;2,"",IF($B$10=1,SUM(B1*0.4/60*$B$9),IF($B$10=2,SUM(B1*0.3/60*$B$9),IF($B$10=3,SUM(B1*0.2/60*$B$9))))))</f>
        <v/>
      </c>
      <c r="G6" s="158" t="str">
        <f>IF($B$8&lt;2,"",IF($B$8=3,"",IF($B$8=2,IF($B$9&gt;0,"Option 1: No carbs; Option 2: If BG rises try half usual correction dose e.g. if ISF is 3.0 and BG rises 6.0mmol/l, normaly need 2.0 units but give half, so 1.0 unit before starting; Option 3: if BG drops  have the carbohydrate suggested"))))</f>
        <v/>
      </c>
      <c r="H6" s="155" t="str">
        <f>IF($B$8&lt;2,"",IF($B$8&gt;2,"",IF($B$9&lt;30,"",IF(B11&gt;1,IF($B$10=1,IF($B$5=1," As you are not eating for 90 minutes try 10g carbohydrate without bolus insulin","As you do not want an extra 10g carbohydrate without insulin, you would benefit from a 10 second all out sprint to prevent hypoglycaemia"),IF($B$10=2,IF($B$5=1," As you are not eating for 90 minutes try 20g carbohydrate without bolus insulin ","As you do not want an extra 20g carbohydrate without insulin, you would benefit from a 10 second all out sprint to prevent hypoglycaemia"),IF($B$10=3,IF($B$5=1," As you are not eating for 90 minutes try 30g carbohydrate without bolus insulin ","As you do not want an extra 30g carbohydrate without insulin, you would benefit from a 10 second all out sprint to prevent hypoglycaemia")))),IF($B$10=1,"For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6" s="155" t="str">
        <f>IF($B$8&gt;2,"",IF($B$8&lt;2,"",IF($B$9&lt;30,"",IF(B11&lt;1,"",IF(B11&gt;1,"",IF($B$10=1,SUM(B1*0.5),IF($B$10=2,(B1*1),IF($B$10=3,(B1*1.5)))))))))</f>
        <v/>
      </c>
      <c r="J6" s="155" t="str">
        <f>IF($B$8&gt;2,"",IF($B$8&lt;2,"",IF($B$9&lt;30,"",IF(B11&lt;1,"",IF(B11&gt;1,"",IF($B$10=1,SUM(B1*0.2),IF($B$10=2,(B1*0.3),IF($B$10=3,(B1*0.4)))))))))</f>
        <v/>
      </c>
    </row>
    <row r="7" spans="1:10" ht="54.75" customHeight="1">
      <c r="A7" s="21"/>
      <c r="B7" s="21"/>
      <c r="D7" s="166"/>
      <c r="E7" s="156"/>
      <c r="F7" s="157"/>
      <c r="G7" s="158"/>
      <c r="H7" s="156" t="str">
        <f>IF($B$8&lt;1,"",IF($B$8&gt;1,"",IF($B$9&lt;45,"",IF(B12&gt;1,IF($B$10=1,IF($B$5=1," As you are not eating for 90 minutes try 10g carbohydrate without bolus insulin ","Option 1: Reduce basal rate by 20% for 2 hours to prevent after exercise hypoglycaemia.  Option 2: Do an all out 10 second sprint at maximum capacity instead of basal rate reduction"),IF($B$10=2,IF($B$5=1," As you are not eating for 90 minutes try 20g carbohydrate without bolus insulin ","Option 1: Reduce basal rate by 30% for 3 hours to prevent after exercise hypoglycaemia.  Option 2: Do an all out 10 second sprint at maximum capacity instead of basal rate reduction"),IF($B$10=3,IF($B$5=1," As you are not eating for 90 minutes try 30g carbohydrate without bolus insulin ","Reduce basal rate by 40% for 4 hours to prevent after exercise hypoglycaemia ")))),IF($B$10=1,"For recovery have a carbohydrate and protein meal consisting of the at least the minimum suggested. Deduct 10% off the calculated bolus dose to prevent delayed hypoglycaemia",IF($B$10=2,"For recovery have a carbohydrate and protein meal consisting of the at least the minimum suggested. Deduct 20% off the calculated bolus dose to prevent delayed hypoglycaemia",IF($B$10=3,"For recovery have a carbohydrate and protein meal consisting of the at least the minimum suggested. Deduct 30% off the calculated bolus dose to prevent delayed hypoglycaemia")))))))</f>
        <v/>
      </c>
      <c r="I7" s="156"/>
      <c r="J7" s="156"/>
    </row>
    <row r="8" spans="1:10" ht="57" customHeight="1">
      <c r="A8" s="1" t="s">
        <v>0</v>
      </c>
      <c r="B8" s="9">
        <f>'Data Entry MDI'!B8</f>
        <v>1</v>
      </c>
      <c r="D8" s="165" t="s">
        <v>5</v>
      </c>
      <c r="E8" s="155" t="str">
        <f>IF($B$8&lt;3,"",IF($B$8=3,"Full insulin"))</f>
        <v/>
      </c>
      <c r="F8" s="157" t="str">
        <f>IF($B$8&lt;3,"",IF($B$8=3,IF($B$10=1,SUM(B1*0.3/60*$B$9),IF($B$10=2,SUM(B1*0.2/60*$B$9),IF($B$10=3,SUM(B1*0.1/60*$B$9))))))</f>
        <v/>
      </c>
      <c r="G8" s="158" t="str">
        <f>IF($B$8&lt;3,"",IF($B$8=3,IF($B$9&gt;0,"First try 0g CHO, If BG rises try half usual correction dose e.g. if ISF is 3.0 and BG rises 6.0mmol/l, normaly need 2.0 units but give half, so 1.0 unit before starting, If BG drops with 0g CHO have  have the carbohydrate suggested 10 mins before")))</f>
        <v/>
      </c>
      <c r="H8" s="155" t="str">
        <f>IF($B$8&lt;3,"",IF($B$8&gt;3,"",IF($B$9&lt;30,"",IF(B11&gt;1,IF($B$10=1,IF($B$5=1," As you are not eating for 90 minutes try 10g carbohydrate without bolus insulin ","As you do not want an extra 10g carbohydrate without insulin, you would benefit from a 10 second all out sprint to prevent hypoglycaemia"),IF($B$10=2,IF($B$5=1," As you are not eating for 90 minutes try 20g carbohydrate without bolus insulin ","As you do not want an extra 20g carbohydrate without insulin, you would benefit from a 10 second all out sprint to prevent hypoglycaemia"),IF($B$10=3,IF($B$5=1," As you are not eating for 90 minutes try 30g carbohydrate without bolus insulin ","As you do not want an extra 30g carbohydrate without insulin, you would benefit from a 10 second all out sprint to prevent hypoglycaemia")))),IF($B$10=1,"For recovery have a carbohydrate and protein meal consisting of the at least the minimum suggested. Deduct 15% off the calculated bolus dose to prevent delayed hypoglycaemia",IF($B$10=2,"For recovery have a carbohydrate and protein meal consisting of the at least the minimum suggested. Deduct 30% off the calculated bolus dose to prevent delayed hypoglycaemia",IF($B$10=3,"For recovery have a carbohydrate and protein meal consisting of the at least the minimum suggested. Deduct 50% off the calculated bolus dose to prevent delayed hypoglycaemia")))))))</f>
        <v/>
      </c>
      <c r="I8" s="155" t="str">
        <f>IF($B$8&lt;3,"",IF($B$9&lt;30,"",IF(B11&lt;1,"",IF(B11&gt;1,"",IF($B$10=1,SUM(B1*0.5),IF($B$10=2,(B1*1),IF($B$10=3,(B1*1.5))))))))</f>
        <v/>
      </c>
      <c r="J8" s="155" t="str">
        <f>IF($B$8&lt;3,"",IF($B$9&lt;30,"",IF(B11&lt;1,"",IF(B11&gt;1,"",IF($B$10=1,SUM(B1*0.2),IF($B$10=2,(B1*0.3),IF($B$10=3,(B1*0.4))))))))</f>
        <v/>
      </c>
    </row>
    <row r="9" spans="1:10" ht="45" customHeight="1">
      <c r="A9" s="1" t="s">
        <v>1</v>
      </c>
      <c r="B9" s="9">
        <f>'Data Entry MDI'!B9</f>
        <v>1</v>
      </c>
      <c r="D9" s="166"/>
      <c r="E9" s="156"/>
      <c r="F9" s="157"/>
      <c r="G9" s="158"/>
      <c r="H9" s="156" t="str">
        <f>IF($B$8&lt;3,"",IF($B$9&lt;45,"",IF(B12&gt;1,IF($B$10=1,IF($B$5=1," As you are not eating for 90 minutes try 10g carbohydrate without bolus insulin ","Option 1: Reduce basal rate by 20% for 2 hours to prevent after exercise hypoglycaemia.  Option 2: Do an all out 10 second sprint at maximum capacity instead of basal rate reduction"),IF($B$10=2,IF($B$5=1," As you are not eating for 90 minutes try 20g carbohydrate without bolus insulin ","Option 1: Reduce basal rate by 30% for 3 hours to prevent after exercise hypoglycaemia.  Option 2: Do an all out 10 second sprint at maximum capacity instead of basal rate reduction"),IF($B$10=3,IF($B$5=1," As you are not eating for 90 minutes try 30g carbohydrate without bolus insulin ","Option 1: Reduce basal rate by 40% for 4 hours to prevent after exercise hypoglycaemia.  Option 2: Do an all out 10 second sprint at maximum capacity instead of basal rate reduction")))),IF($B$10=1,"For recovery have a carbohydrate and protein meal consisting of the at least the minimum suggested. Deduct 10% off the calculated bolus dose to prevent delayed hypoglycaemia",IF($B$10=2,"For recovery have a carbohydrate and protein meal consisting of the at least the minimum suggested. Deduct 20% off the calculated bolus dose to prevent delayed hypoglycaemia",IF($B$10=3,"For recovery have a carbohydrate and protein meal consisting of the at least the minimum suggested. Deduct 30% off the calculated bolus dose to prevent delayed hypoglycaemia"))))))</f>
        <v/>
      </c>
      <c r="I9" s="156"/>
      <c r="J9" s="156"/>
    </row>
    <row r="10" spans="1:10" ht="30" customHeight="1">
      <c r="A10" s="1" t="s">
        <v>2</v>
      </c>
      <c r="B10" s="9">
        <f>'Data Entry MDI'!B10</f>
        <v>1</v>
      </c>
      <c r="F10" s="8"/>
      <c r="H10" s="151" t="s">
        <v>20</v>
      </c>
      <c r="I10" s="151"/>
      <c r="J10" s="151"/>
    </row>
    <row r="11" spans="1:10" ht="30" customHeight="1">
      <c r="A11" s="1" t="s">
        <v>3</v>
      </c>
      <c r="B11" s="9">
        <f>'Data Entry MDI'!B11</f>
        <v>1</v>
      </c>
      <c r="F11" s="8"/>
      <c r="H11" s="152" t="str">
        <f>IF($B$9&lt;30,"",IF($B$10=1,"Try 10g of carbohydrate with 5g protein with no bolus insulin before bed OR reduce basal by 10% overnight",IF($B$10=2,"Try 20g of carbohydrate and 10g protein with no bolus insulin before bed OR reduce basal by 20% overnight",IF($B$10=3,"Try 30g of carbohydrate and 15g protein with no bolus insulin before bed OR reduce basal by 30% overnight"))))</f>
        <v/>
      </c>
      <c r="I11" s="152"/>
      <c r="J11" s="152"/>
    </row>
    <row r="13" spans="1:10" hidden="1"/>
    <row r="14" spans="1:10" hidden="1"/>
    <row r="15" spans="1:10" hidden="1"/>
    <row r="16" spans="1:10" hidden="1"/>
    <row r="17" spans="1:1" hidden="1"/>
    <row r="18" spans="1:1" hidden="1"/>
    <row r="19" spans="1:1" hidden="1"/>
    <row r="20" spans="1:1" hidden="1">
      <c r="A20" s="3">
        <v>1</v>
      </c>
    </row>
    <row r="21" spans="1:1" hidden="1">
      <c r="A21" s="3">
        <v>2</v>
      </c>
    </row>
    <row r="22" spans="1:1" hidden="1">
      <c r="A22" s="3">
        <v>3</v>
      </c>
    </row>
    <row r="23" spans="1:1" hidden="1">
      <c r="A23" s="3">
        <v>4</v>
      </c>
    </row>
    <row r="24" spans="1:1" hidden="1">
      <c r="A24" s="3">
        <v>5</v>
      </c>
    </row>
    <row r="25" spans="1:1" hidden="1"/>
    <row r="26" spans="1:1" hidden="1"/>
    <row r="27" spans="1:1" hidden="1"/>
    <row r="28" spans="1:1" hidden="1"/>
  </sheetData>
  <mergeCells count="27">
    <mergeCell ref="D1:E1"/>
    <mergeCell ref="H1:J1"/>
    <mergeCell ref="F2:G2"/>
    <mergeCell ref="H2:J2"/>
    <mergeCell ref="D6:D7"/>
    <mergeCell ref="E6:E7"/>
    <mergeCell ref="F6:F7"/>
    <mergeCell ref="G6:G7"/>
    <mergeCell ref="H6:H7"/>
    <mergeCell ref="I6:I7"/>
    <mergeCell ref="J6:J7"/>
    <mergeCell ref="H4:H5"/>
    <mergeCell ref="J4:J5"/>
    <mergeCell ref="I4:I5"/>
    <mergeCell ref="D8:D9"/>
    <mergeCell ref="E8:E9"/>
    <mergeCell ref="F8:F9"/>
    <mergeCell ref="G8:G9"/>
    <mergeCell ref="D4:D5"/>
    <mergeCell ref="E4:E5"/>
    <mergeCell ref="F4:F5"/>
    <mergeCell ref="G4:G5"/>
    <mergeCell ref="H11:J11"/>
    <mergeCell ref="H10:J10"/>
    <mergeCell ref="H8:H9"/>
    <mergeCell ref="I8:I9"/>
    <mergeCell ref="J8:J9"/>
  </mergeCells>
  <dataValidations count="5">
    <dataValidation type="list" showInputMessage="1" showErrorMessage="1" promptTitle="Minutes since last bolus" prompt="1 = 0 - 90 minutes&#10;High insulin action&#10;&#10;2 = 90 - 180 minutes&#10;Medium insulin action&#10;&#10;3 = more than 180 minutes&#10;Low insulin action" sqref="B8:B11">
      <formula1>$A$20:$A$22</formula1>
    </dataValidation>
    <dataValidation type="textLength" allowBlank="1" showInputMessage="1" showErrorMessage="1" promptTitle="Activity name" prompt="Enter the name of your activity" sqref="B2">
      <formula1>0</formula1>
      <formula2>100</formula2>
    </dataValidation>
    <dataValidation type="decimal" showInputMessage="1" showErrorMessage="1" promptTitle="Weight (kg)" prompt="Enter weight in kilograms" sqref="B1">
      <formula1>1</formula1>
      <formula2>200</formula2>
    </dataValidation>
    <dataValidation type="textLength" allowBlank="1" showInputMessage="1" showErrorMessage="1" promptTitle="Name" prompt="Enter name of the exerciser" sqref="B3">
      <formula1>0</formula1>
      <formula2>100</formula2>
    </dataValidation>
    <dataValidation showInputMessage="1" showErrorMessage="1" promptTitle="Extra carbs vs insulin reduction" prompt="&#10;1 = Preference for extra carbs &amp; when activity is unplanned&#10;&#10;2 = Preference for insulin reduction, less CHO but requires more planning" sqref="B5"/>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DMF Data Entry</vt:lpstr>
      <vt:lpstr>The Plan</vt:lpstr>
      <vt:lpstr>Data Entry</vt:lpstr>
      <vt:lpstr>Data Entry Pump</vt:lpstr>
      <vt:lpstr>Pump Aerobic (endurance)</vt:lpstr>
      <vt:lpstr>Puimp Intermittent</vt:lpstr>
      <vt:lpstr>Pump Anaerobic (short &amp; sharp)</vt:lpstr>
      <vt:lpstr>Data Entry MDI</vt:lpstr>
      <vt:lpstr>MDI Anaerobic (short &amp; sharp)</vt:lpstr>
      <vt:lpstr>MDI Intermittent</vt:lpstr>
      <vt:lpstr>MDI Aerobic (endurance)</vt:lpstr>
      <vt:lpstr>Sheet1</vt:lpstr>
      <vt:lpstr>'DMF Data Entry'!Print_Area</vt:lpstr>
      <vt:lpstr>'The Plan'!Print_Area</vt:lpstr>
    </vt:vector>
  </TitlesOfParts>
  <Company>Birmingham Childrens Hospital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Pemberton (RQ3) BCH</dc:creator>
  <cp:lastModifiedBy>Dell-M4500</cp:lastModifiedBy>
  <cp:lastPrinted>2017-06-04T13:40:36Z</cp:lastPrinted>
  <dcterms:created xsi:type="dcterms:W3CDTF">2016-03-01T11:36:41Z</dcterms:created>
  <dcterms:modified xsi:type="dcterms:W3CDTF">2017-06-04T14:16:04Z</dcterms:modified>
</cp:coreProperties>
</file>